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JONG\Desktop\꿈의숲아트센터 시설관리 용역\"/>
    </mc:Choice>
  </mc:AlternateContent>
  <bookViews>
    <workbookView xWindow="-15" yWindow="75" windowWidth="24570" windowHeight="14610" tabRatio="624"/>
  </bookViews>
  <sheets>
    <sheet name="심사요약서" sheetId="47" r:id="rId1"/>
    <sheet name="2.원가계산서(결과)" sheetId="42" r:id="rId2"/>
    <sheet name="2.원가계산서 (요청)" sheetId="46" r:id="rId3"/>
    <sheet name="3. 2021년 하반기 중소제조업 직종별 임금조사 반영" sheetId="45" r:id="rId4"/>
    <sheet name="원가계산서 (17명) (지방자치단체)" sheetId="41" state="hidden" r:id="rId5"/>
    <sheet name="4. 당직 근무시간 (23명)4교대" sheetId="19" r:id="rId6"/>
    <sheet name="5. 시설 근무패턴" sheetId="32" r:id="rId7"/>
    <sheet name="6. 경비 근무패턴" sheetId="39" r:id="rId8"/>
    <sheet name="7. 청소 근무패턴" sheetId="40" r:id="rId9"/>
    <sheet name="8. 청소근무기준" sheetId="34" r:id="rId10"/>
    <sheet name="9. 업무분장" sheetId="31" r:id="rId11"/>
    <sheet name="1.산출근거" sheetId="29" r:id="rId12"/>
  </sheets>
  <definedNames>
    <definedName name="_Order1" hidden="1">255</definedName>
    <definedName name="_Order2" hidden="1">255</definedName>
    <definedName name="_xlnm.Print_Area" localSheetId="11">'1.산출근거'!$A$1:$K$46</definedName>
    <definedName name="_xlnm.Print_Area" localSheetId="2">'2.원가계산서 (요청)'!$A$1:$U$38</definedName>
    <definedName name="_xlnm.Print_Area" localSheetId="1">'2.원가계산서(결과)'!$A$1:$U$38</definedName>
    <definedName name="_xlnm.Print_Area" localSheetId="3">'3. 2021년 하반기 중소제조업 직종별 임금조사 반영'!$A$1:$F$18</definedName>
    <definedName name="_xlnm.Print_Area" localSheetId="5">'4. 당직 근무시간 (23명)4교대'!$A$1:$J$40</definedName>
    <definedName name="_xlnm.Print_Area" localSheetId="6">'5. 시설 근무패턴'!$A$1:$J$39</definedName>
    <definedName name="_xlnm.Print_Area" localSheetId="7">'6. 경비 근무패턴'!$A$1:$H$40</definedName>
    <definedName name="_xlnm.Print_Area" localSheetId="8">'7. 청소 근무패턴'!$A$1:$H$36</definedName>
    <definedName name="_xlnm.Print_Area" localSheetId="9">'8. 청소근무기준'!$A$1:$I$36</definedName>
    <definedName name="_xlnm.Print_Area" localSheetId="10">'9. 업무분장'!$A$1:$E$49</definedName>
    <definedName name="_xlnm.Print_Area" localSheetId="4">'원가계산서 (17명) (지방자치단체)'!$A$1:$O$35</definedName>
  </definedNames>
  <calcPr calcId="162913"/>
</workbook>
</file>

<file path=xl/calcChain.xml><?xml version="1.0" encoding="utf-8"?>
<calcChain xmlns="http://schemas.openxmlformats.org/spreadsheetml/2006/main">
  <c r="M43" i="46" l="1"/>
  <c r="L43" i="46"/>
  <c r="K43" i="46"/>
  <c r="J43" i="46"/>
  <c r="I43" i="46"/>
  <c r="H43" i="46"/>
  <c r="AD10" i="46"/>
  <c r="AC10" i="46"/>
  <c r="AD11" i="46" s="1"/>
  <c r="Y6" i="46"/>
  <c r="X6" i="46"/>
  <c r="J27" i="42" l="1"/>
  <c r="M27" i="42"/>
  <c r="O27" i="42"/>
  <c r="N27" i="42"/>
  <c r="L27" i="42"/>
  <c r="K27" i="42"/>
  <c r="I27" i="42"/>
  <c r="H27" i="42"/>
  <c r="M26" i="42"/>
  <c r="J26" i="42"/>
  <c r="O26" i="42"/>
  <c r="N26" i="42"/>
  <c r="L26" i="42"/>
  <c r="K26" i="42"/>
  <c r="I26" i="42"/>
  <c r="H26" i="42"/>
  <c r="M41" i="46" l="1"/>
  <c r="M44" i="46" s="1"/>
  <c r="H7" i="42"/>
  <c r="I7" i="42"/>
  <c r="J7" i="42"/>
  <c r="K7" i="42"/>
  <c r="L7" i="42"/>
  <c r="M7" i="42"/>
  <c r="N7" i="42"/>
  <c r="O7" i="42"/>
  <c r="J41" i="46" l="1"/>
  <c r="J44" i="46" s="1"/>
  <c r="L41" i="46"/>
  <c r="L44" i="46" s="1"/>
  <c r="I41" i="46"/>
  <c r="I44" i="46" s="1"/>
  <c r="N25" i="42"/>
  <c r="N24" i="42"/>
  <c r="N8" i="42"/>
  <c r="D11" i="45"/>
  <c r="O25" i="42"/>
  <c r="O24" i="42"/>
  <c r="O8" i="42"/>
  <c r="P31" i="42"/>
  <c r="D12" i="45"/>
  <c r="B13" i="45"/>
  <c r="D7" i="45"/>
  <c r="D8" i="45"/>
  <c r="D9" i="45"/>
  <c r="D10" i="45"/>
  <c r="D6" i="45"/>
  <c r="M24" i="42"/>
  <c r="L24" i="42"/>
  <c r="K24" i="42"/>
  <c r="J24" i="42"/>
  <c r="I24" i="42"/>
  <c r="H24" i="42"/>
  <c r="K41" i="46" l="1"/>
  <c r="K44" i="46" s="1"/>
  <c r="P24" i="42"/>
  <c r="N13" i="42"/>
  <c r="O13" i="42"/>
  <c r="N9" i="42"/>
  <c r="N11" i="42"/>
  <c r="O11" i="42"/>
  <c r="O9" i="42"/>
  <c r="O12" i="42" s="1"/>
  <c r="O18" i="42" s="1"/>
  <c r="Q28" i="42"/>
  <c r="J25" i="42"/>
  <c r="Q15" i="42"/>
  <c r="H13" i="45"/>
  <c r="I13" i="45" s="1"/>
  <c r="H9" i="45"/>
  <c r="I9" i="45" s="1"/>
  <c r="O17" i="42" l="1"/>
  <c r="O22" i="42"/>
  <c r="O23" i="42" s="1"/>
  <c r="O20" i="42"/>
  <c r="N12" i="42"/>
  <c r="N17" i="42" s="1"/>
  <c r="O14" i="42"/>
  <c r="O15" i="42" s="1"/>
  <c r="O16" i="42" s="1"/>
  <c r="O19" i="42"/>
  <c r="O21" i="42"/>
  <c r="H41" i="46" l="1"/>
  <c r="H44" i="46" s="1"/>
  <c r="N18" i="42"/>
  <c r="N22" i="42"/>
  <c r="N23" i="42" s="1"/>
  <c r="N21" i="42"/>
  <c r="N20" i="42"/>
  <c r="N19" i="42"/>
  <c r="N14" i="42"/>
  <c r="N15" i="42" s="1"/>
  <c r="N16" i="42" s="1"/>
  <c r="O28" i="42"/>
  <c r="O29" i="42" s="1"/>
  <c r="O30" i="42" s="1"/>
  <c r="O32" i="42" s="1"/>
  <c r="N28" i="42" l="1"/>
  <c r="N29" i="42" s="1"/>
  <c r="N30" i="42" s="1"/>
  <c r="N32" i="42" s="1"/>
  <c r="N33" i="42" s="1"/>
  <c r="O33" i="42"/>
  <c r="O34" i="42"/>
  <c r="AD10" i="42"/>
  <c r="AC10" i="42"/>
  <c r="AD11" i="42" s="1"/>
  <c r="N34" i="42" l="1"/>
  <c r="N35" i="42" s="1"/>
  <c r="N36" i="42" s="1"/>
  <c r="N37" i="42" s="1"/>
  <c r="N38" i="42" s="1"/>
  <c r="P27" i="42"/>
  <c r="Q27" i="42" s="1"/>
  <c r="R27" i="42" s="1"/>
  <c r="T27" i="42" s="1"/>
  <c r="S27" i="42" s="1"/>
  <c r="P26" i="42"/>
  <c r="Q26" i="42" s="1"/>
  <c r="R26" i="42" s="1"/>
  <c r="T26" i="42" s="1"/>
  <c r="S26" i="42" s="1"/>
  <c r="O35" i="42"/>
  <c r="O36" i="42" s="1"/>
  <c r="O37" i="42" s="1"/>
  <c r="O38" i="42" s="1"/>
  <c r="Y6" i="42"/>
  <c r="X6" i="42"/>
  <c r="M15" i="19" l="1"/>
  <c r="M7" i="19"/>
  <c r="M8" i="19"/>
  <c r="M6" i="19"/>
  <c r="K9" i="19"/>
  <c r="O9" i="19" l="1"/>
  <c r="D8" i="19"/>
  <c r="G8" i="19" s="1"/>
  <c r="M9" i="19"/>
  <c r="D7" i="19"/>
  <c r="K8" i="42"/>
  <c r="K13" i="42" l="1"/>
  <c r="K11" i="42"/>
  <c r="K10" i="42"/>
  <c r="K9" i="42"/>
  <c r="D9" i="19"/>
  <c r="L8" i="42"/>
  <c r="M25" i="42"/>
  <c r="L25" i="42"/>
  <c r="K25" i="42"/>
  <c r="I25" i="42"/>
  <c r="H25" i="42"/>
  <c r="P25" i="42" l="1"/>
  <c r="Q25" i="42" s="1"/>
  <c r="R25" i="42" s="1"/>
  <c r="T25" i="42" s="1"/>
  <c r="S25" i="42" s="1"/>
  <c r="L13" i="42"/>
  <c r="L9" i="42" s="1"/>
  <c r="L10" i="42"/>
  <c r="L11" i="42"/>
  <c r="Q24" i="42"/>
  <c r="R24" i="42" s="1"/>
  <c r="T24" i="42" s="1"/>
  <c r="S24" i="42" s="1"/>
  <c r="M8" i="42"/>
  <c r="J8" i="42"/>
  <c r="I8" i="42"/>
  <c r="H8" i="42"/>
  <c r="P8" i="42" l="1"/>
  <c r="M9" i="42"/>
  <c r="I13" i="42"/>
  <c r="I9" i="42" s="1"/>
  <c r="I11" i="42"/>
  <c r="H13" i="42"/>
  <c r="H9" i="42" s="1"/>
  <c r="H11" i="42"/>
  <c r="M13" i="42"/>
  <c r="M11" i="42"/>
  <c r="M10" i="42"/>
  <c r="J13" i="42"/>
  <c r="J9" i="42" s="1"/>
  <c r="J11" i="42"/>
  <c r="J10" i="42"/>
  <c r="T43" i="46" l="1"/>
  <c r="U42" i="46"/>
  <c r="U41" i="46"/>
  <c r="P11" i="42"/>
  <c r="P10" i="42"/>
  <c r="P9" i="42"/>
  <c r="P13" i="42"/>
  <c r="Q8" i="42"/>
  <c r="M43" i="42"/>
  <c r="L43" i="42"/>
  <c r="K43" i="42"/>
  <c r="J43" i="42"/>
  <c r="I43" i="42"/>
  <c r="H43" i="42"/>
  <c r="R31" i="42"/>
  <c r="T31" i="42" s="1"/>
  <c r="S31" i="42" s="1"/>
  <c r="T42" i="46" l="1"/>
  <c r="R44" i="46" s="1"/>
  <c r="I10" i="42"/>
  <c r="H10" i="42"/>
  <c r="H12" i="42" s="1"/>
  <c r="H17" i="42" l="1"/>
  <c r="H18" i="42"/>
  <c r="H22" i="42"/>
  <c r="H23" i="42" s="1"/>
  <c r="H14" i="42"/>
  <c r="H19" i="42"/>
  <c r="Q11" i="42"/>
  <c r="R11" i="42" s="1"/>
  <c r="T11" i="42" s="1"/>
  <c r="S11" i="42" s="1"/>
  <c r="Q9" i="42"/>
  <c r="R9" i="42" s="1"/>
  <c r="T9" i="42" s="1"/>
  <c r="S9" i="42" s="1"/>
  <c r="Q13" i="42"/>
  <c r="R13" i="42" s="1"/>
  <c r="T13" i="42" s="1"/>
  <c r="S13" i="42" s="1"/>
  <c r="K12" i="42"/>
  <c r="R8" i="42"/>
  <c r="T8" i="42" s="1"/>
  <c r="S8" i="42" s="1"/>
  <c r="J12" i="42"/>
  <c r="I12" i="42"/>
  <c r="I17" i="42" s="1"/>
  <c r="L12" i="42"/>
  <c r="J17" i="42" l="1"/>
  <c r="J18" i="42"/>
  <c r="J22" i="42"/>
  <c r="J23" i="42" s="1"/>
  <c r="K22" i="42"/>
  <c r="K23" i="42" s="1"/>
  <c r="K17" i="42"/>
  <c r="K18" i="42"/>
  <c r="L17" i="42"/>
  <c r="L18" i="42"/>
  <c r="L22" i="42"/>
  <c r="L23" i="42" s="1"/>
  <c r="I22" i="42"/>
  <c r="I23" i="42" s="1"/>
  <c r="I18" i="42"/>
  <c r="H21" i="42"/>
  <c r="H20" i="42"/>
  <c r="K20" i="42"/>
  <c r="K19" i="42"/>
  <c r="K21" i="42"/>
  <c r="L14" i="42"/>
  <c r="L15" i="42" s="1"/>
  <c r="L20" i="42"/>
  <c r="L19" i="42"/>
  <c r="L21" i="42"/>
  <c r="I14" i="42"/>
  <c r="I15" i="42" s="1"/>
  <c r="I19" i="42"/>
  <c r="I21" i="42"/>
  <c r="I20" i="42"/>
  <c r="J14" i="42"/>
  <c r="J15" i="42" s="1"/>
  <c r="J19" i="42"/>
  <c r="J21" i="42"/>
  <c r="J20" i="42"/>
  <c r="K14" i="42"/>
  <c r="K15" i="42" s="1"/>
  <c r="K16" i="42" s="1"/>
  <c r="J41" i="42" l="1"/>
  <c r="J16" i="42"/>
  <c r="K41" i="42"/>
  <c r="K44" i="42" s="1"/>
  <c r="I41" i="42"/>
  <c r="I44" i="42" s="1"/>
  <c r="I16" i="42"/>
  <c r="L41" i="42"/>
  <c r="L44" i="42" s="1"/>
  <c r="L16" i="42"/>
  <c r="J28" i="42"/>
  <c r="J29" i="42" s="1"/>
  <c r="I28" i="42"/>
  <c r="I29" i="42" s="1"/>
  <c r="L28" i="42"/>
  <c r="L29" i="42" s="1"/>
  <c r="K28" i="42"/>
  <c r="K29" i="42" s="1"/>
  <c r="K30" i="42" s="1"/>
  <c r="K32" i="42" s="1"/>
  <c r="H15" i="42"/>
  <c r="J44" i="42"/>
  <c r="L30" i="42" l="1"/>
  <c r="L32" i="42" s="1"/>
  <c r="L34" i="42" s="1"/>
  <c r="I30" i="42"/>
  <c r="I32" i="42" s="1"/>
  <c r="I34" i="42" s="1"/>
  <c r="J30" i="42"/>
  <c r="J32" i="42" s="1"/>
  <c r="J33" i="42" s="1"/>
  <c r="H41" i="42"/>
  <c r="H44" i="42" s="1"/>
  <c r="H16" i="42"/>
  <c r="H28" i="42"/>
  <c r="H29" i="42" s="1"/>
  <c r="K33" i="42"/>
  <c r="K34" i="42"/>
  <c r="L33" i="42" l="1"/>
  <c r="L35" i="42" s="1"/>
  <c r="J34" i="42"/>
  <c r="J35" i="42" s="1"/>
  <c r="J36" i="42" s="1"/>
  <c r="J37" i="42" s="1"/>
  <c r="J38" i="42" s="1"/>
  <c r="I33" i="42"/>
  <c r="I35" i="42" s="1"/>
  <c r="I36" i="42" s="1"/>
  <c r="I37" i="42" s="1"/>
  <c r="I38" i="42" s="1"/>
  <c r="H30" i="42"/>
  <c r="K35" i="42"/>
  <c r="K36" i="42" s="1"/>
  <c r="K37" i="42" s="1"/>
  <c r="K38" i="42" s="1"/>
  <c r="H32" i="42" l="1"/>
  <c r="L36" i="42"/>
  <c r="L37" i="42" s="1"/>
  <c r="L38" i="42" s="1"/>
  <c r="H34" i="42" l="1"/>
  <c r="H33" i="42"/>
  <c r="H35" i="42" l="1"/>
  <c r="H36" i="42" l="1"/>
  <c r="H37" i="42" l="1"/>
  <c r="N28" i="41"/>
  <c r="M25" i="41"/>
  <c r="L25" i="41"/>
  <c r="K25" i="41"/>
  <c r="J25" i="41"/>
  <c r="I25" i="41"/>
  <c r="H25" i="41"/>
  <c r="M24" i="41"/>
  <c r="L24" i="41"/>
  <c r="K24" i="41"/>
  <c r="J24" i="41"/>
  <c r="I24" i="41"/>
  <c r="H24" i="41"/>
  <c r="M7" i="41"/>
  <c r="M8" i="41" s="1"/>
  <c r="L7" i="41"/>
  <c r="L8" i="41" s="1"/>
  <c r="K7" i="41"/>
  <c r="K8" i="41" s="1"/>
  <c r="J7" i="41"/>
  <c r="J8" i="41" s="1"/>
  <c r="I7" i="41"/>
  <c r="I8" i="41" s="1"/>
  <c r="H7" i="41"/>
  <c r="H8" i="41" s="1"/>
  <c r="H38" i="42" l="1"/>
  <c r="I10" i="41"/>
  <c r="I11" i="41"/>
  <c r="I9" i="41"/>
  <c r="I13" i="41" s="1"/>
  <c r="I15" i="41" s="1"/>
  <c r="I16" i="41" s="1"/>
  <c r="M11" i="41"/>
  <c r="M9" i="41"/>
  <c r="M10" i="41"/>
  <c r="H10" i="41"/>
  <c r="H9" i="41"/>
  <c r="H11" i="41"/>
  <c r="L10" i="41"/>
  <c r="L11" i="41"/>
  <c r="L9" i="41"/>
  <c r="J10" i="41"/>
  <c r="K9" i="41"/>
  <c r="K11" i="41"/>
  <c r="K10" i="41"/>
  <c r="J9" i="41"/>
  <c r="J11" i="41"/>
  <c r="H13" i="41" l="1"/>
  <c r="H22" i="41" s="1"/>
  <c r="H23" i="41" s="1"/>
  <c r="L13" i="41"/>
  <c r="L18" i="41" s="1"/>
  <c r="I17" i="41"/>
  <c r="I22" i="41"/>
  <c r="I23" i="41" s="1"/>
  <c r="J13" i="41"/>
  <c r="J20" i="41" s="1"/>
  <c r="I37" i="41"/>
  <c r="I18" i="41"/>
  <c r="I19" i="41"/>
  <c r="I20" i="41"/>
  <c r="I21" i="41"/>
  <c r="J15" i="41"/>
  <c r="J16" i="41" s="1"/>
  <c r="K13" i="41"/>
  <c r="H19" i="41"/>
  <c r="M13" i="41"/>
  <c r="L21" i="41" l="1"/>
  <c r="L22" i="41"/>
  <c r="L23" i="41" s="1"/>
  <c r="L15" i="41"/>
  <c r="L16" i="41" s="1"/>
  <c r="L37" i="41" s="1"/>
  <c r="L17" i="41"/>
  <c r="L26" i="41" s="1"/>
  <c r="L27" i="41" s="1"/>
  <c r="L29" i="41" s="1"/>
  <c r="L30" i="41" s="1"/>
  <c r="L20" i="41"/>
  <c r="L19" i="41"/>
  <c r="H18" i="41"/>
  <c r="H15" i="41"/>
  <c r="H16" i="41" s="1"/>
  <c r="H17" i="41"/>
  <c r="H20" i="41"/>
  <c r="H21" i="41"/>
  <c r="J18" i="41"/>
  <c r="J22" i="41"/>
  <c r="J23" i="41" s="1"/>
  <c r="J21" i="41"/>
  <c r="J17" i="41"/>
  <c r="I26" i="41"/>
  <c r="I27" i="41" s="1"/>
  <c r="I29" i="41" s="1"/>
  <c r="I30" i="41" s="1"/>
  <c r="J19" i="41"/>
  <c r="J37" i="41"/>
  <c r="H37" i="41"/>
  <c r="M21" i="41"/>
  <c r="M20" i="41"/>
  <c r="M19" i="41"/>
  <c r="M22" i="41"/>
  <c r="M23" i="41" s="1"/>
  <c r="M18" i="41"/>
  <c r="M17" i="41"/>
  <c r="M15" i="41"/>
  <c r="M16" i="41" s="1"/>
  <c r="K21" i="41"/>
  <c r="K19" i="41"/>
  <c r="K17" i="41"/>
  <c r="K22" i="41"/>
  <c r="K23" i="41" s="1"/>
  <c r="K15" i="41"/>
  <c r="K16" i="41" s="1"/>
  <c r="K18" i="41"/>
  <c r="K20" i="41"/>
  <c r="H26" i="41" l="1"/>
  <c r="H27" i="41" s="1"/>
  <c r="N16" i="41"/>
  <c r="L31" i="41"/>
  <c r="L32" i="41" s="1"/>
  <c r="L33" i="41" s="1"/>
  <c r="J26" i="41"/>
  <c r="J27" i="41" s="1"/>
  <c r="J29" i="41" s="1"/>
  <c r="J30" i="41" s="1"/>
  <c r="K26" i="41"/>
  <c r="K27" i="41" s="1"/>
  <c r="K29" i="41" s="1"/>
  <c r="I31" i="41"/>
  <c r="I32" i="41" s="1"/>
  <c r="I33" i="41" s="1"/>
  <c r="I34" i="41" s="1"/>
  <c r="M37" i="41"/>
  <c r="M26" i="41"/>
  <c r="M27" i="41" s="1"/>
  <c r="M29" i="41" s="1"/>
  <c r="K37" i="41"/>
  <c r="H29" i="41"/>
  <c r="J31" i="41" l="1"/>
  <c r="J32" i="41"/>
  <c r="N26" i="41"/>
  <c r="L34" i="41"/>
  <c r="M30" i="41"/>
  <c r="M31" i="41"/>
  <c r="N27" i="41"/>
  <c r="H31" i="41"/>
  <c r="N29" i="41"/>
  <c r="H30" i="41"/>
  <c r="J33" i="41"/>
  <c r="J34" i="41" s="1"/>
  <c r="K30" i="41"/>
  <c r="K31" i="41"/>
  <c r="M32" i="41" l="1"/>
  <c r="K32" i="41"/>
  <c r="K33" i="41" s="1"/>
  <c r="K34" i="41" s="1"/>
  <c r="H32" i="41"/>
  <c r="H33" i="41" s="1"/>
  <c r="M33" i="41"/>
  <c r="M34" i="41" s="1"/>
  <c r="N30" i="41"/>
  <c r="N31" i="41"/>
  <c r="N32" i="41" l="1"/>
  <c r="N33" i="41"/>
  <c r="H34" i="41"/>
  <c r="N34" i="41" s="1"/>
  <c r="N35" i="41" s="1"/>
  <c r="C14" i="19" l="1"/>
  <c r="K15" i="19" l="1"/>
  <c r="I8" i="19"/>
  <c r="C24" i="19"/>
  <c r="I20" i="19" s="1"/>
  <c r="F9" i="19"/>
  <c r="E9" i="19"/>
  <c r="C9" i="19"/>
  <c r="G7" i="19"/>
  <c r="I7" i="19" s="1"/>
  <c r="G6" i="19"/>
  <c r="I6" i="19" s="1"/>
  <c r="I9" i="19" l="1"/>
  <c r="G9" i="19"/>
  <c r="Q10" i="42" l="1"/>
  <c r="R10" i="42" s="1"/>
  <c r="T10" i="42" s="1"/>
  <c r="S10" i="42" s="1"/>
  <c r="M12" i="42"/>
  <c r="M17" i="42" l="1"/>
  <c r="M18" i="42"/>
  <c r="M22" i="42"/>
  <c r="M23" i="42" s="1"/>
  <c r="P12" i="42"/>
  <c r="P17" i="42" s="1"/>
  <c r="M14" i="42"/>
  <c r="P14" i="42" s="1"/>
  <c r="M20" i="42"/>
  <c r="M21" i="42"/>
  <c r="M19" i="42"/>
  <c r="P22" i="42" l="1"/>
  <c r="Q22" i="42" s="1"/>
  <c r="R22" i="42" s="1"/>
  <c r="T22" i="42" s="1"/>
  <c r="S22" i="42" s="1"/>
  <c r="P21" i="42"/>
  <c r="Q21" i="42" s="1"/>
  <c r="R21" i="42" s="1"/>
  <c r="T21" i="42" s="1"/>
  <c r="S21" i="42" s="1"/>
  <c r="P20" i="42"/>
  <c r="Q20" i="42" s="1"/>
  <c r="R20" i="42" s="1"/>
  <c r="T20" i="42" s="1"/>
  <c r="S20" i="42" s="1"/>
  <c r="P18" i="42"/>
  <c r="Q18" i="42" s="1"/>
  <c r="R18" i="42" s="1"/>
  <c r="T18" i="42" s="1"/>
  <c r="S18" i="42" s="1"/>
  <c r="P19" i="42"/>
  <c r="Q19" i="42" s="1"/>
  <c r="R19" i="42" s="1"/>
  <c r="T19" i="42" s="1"/>
  <c r="S19" i="42" s="1"/>
  <c r="Q17" i="42"/>
  <c r="R17" i="42" s="1"/>
  <c r="T17" i="42" s="1"/>
  <c r="S17" i="42" s="1"/>
  <c r="P16" i="42"/>
  <c r="F5" i="47" s="1"/>
  <c r="M15" i="42"/>
  <c r="M16" i="42" s="1"/>
  <c r="Q12" i="42"/>
  <c r="R12" i="42" s="1"/>
  <c r="T12" i="42" s="1"/>
  <c r="S12" i="42" s="1"/>
  <c r="R15" i="42"/>
  <c r="T15" i="42" s="1"/>
  <c r="S15" i="42" s="1"/>
  <c r="G5" i="47" l="1"/>
  <c r="F6" i="47"/>
  <c r="G6" i="47" s="1"/>
  <c r="Q16" i="42"/>
  <c r="R16" i="42" s="1"/>
  <c r="T16" i="42" s="1"/>
  <c r="S16" i="42" s="1"/>
  <c r="P23" i="42"/>
  <c r="Q23" i="42" s="1"/>
  <c r="R23" i="42" s="1"/>
  <c r="T23" i="42" s="1"/>
  <c r="S23" i="42" s="1"/>
  <c r="Q14" i="42"/>
  <c r="R14" i="42" s="1"/>
  <c r="T14" i="42" s="1"/>
  <c r="S14" i="42" s="1"/>
  <c r="M41" i="42"/>
  <c r="M44" i="42" s="1"/>
  <c r="M28" i="42"/>
  <c r="R28" i="42" l="1"/>
  <c r="T28" i="42" s="1"/>
  <c r="S28" i="42" s="1"/>
  <c r="M29" i="42"/>
  <c r="P29" i="42" s="1"/>
  <c r="F7" i="47" s="1"/>
  <c r="G7" i="47" l="1"/>
  <c r="F8" i="47"/>
  <c r="G8" i="47" s="1"/>
  <c r="Q29" i="42"/>
  <c r="R29" i="42" s="1"/>
  <c r="T29" i="42" s="1"/>
  <c r="S29" i="42" s="1"/>
  <c r="M30" i="42"/>
  <c r="P30" i="42" s="1"/>
  <c r="F9" i="47" s="1"/>
  <c r="G9" i="47" s="1"/>
  <c r="M32" i="42" l="1"/>
  <c r="Q30" i="42"/>
  <c r="R30" i="42" s="1"/>
  <c r="T30" i="42" s="1"/>
  <c r="S30" i="42" s="1"/>
  <c r="M33" i="42" l="1"/>
  <c r="P33" i="42" s="1"/>
  <c r="F10" i="47" s="1"/>
  <c r="G10" i="47" s="1"/>
  <c r="P32" i="42"/>
  <c r="Q32" i="42" s="1"/>
  <c r="R32" i="42" s="1"/>
  <c r="T32" i="42" s="1"/>
  <c r="S32" i="42" s="1"/>
  <c r="M34" i="42"/>
  <c r="Q33" i="42" l="1"/>
  <c r="R33" i="42" s="1"/>
  <c r="T33" i="42" s="1"/>
  <c r="S33" i="42" s="1"/>
  <c r="P34" i="42"/>
  <c r="F11" i="47" s="1"/>
  <c r="G11" i="47" s="1"/>
  <c r="M35" i="42"/>
  <c r="Q34" i="42" l="1"/>
  <c r="R34" i="42" s="1"/>
  <c r="T34" i="42" s="1"/>
  <c r="S34" i="42" s="1"/>
  <c r="M36" i="42"/>
  <c r="P35" i="42"/>
  <c r="F12" i="47" s="1"/>
  <c r="G12" i="47" s="1"/>
  <c r="Q35" i="42" l="1"/>
  <c r="R35" i="42" s="1"/>
  <c r="T35" i="42" s="1"/>
  <c r="S35" i="42" s="1"/>
  <c r="P36" i="42"/>
  <c r="F13" i="47" s="1"/>
  <c r="G13" i="47" s="1"/>
  <c r="M37" i="42"/>
  <c r="Q36" i="42" l="1"/>
  <c r="R36" i="42" s="1"/>
  <c r="T36" i="42" s="1"/>
  <c r="S36" i="42" s="1"/>
  <c r="M38" i="42"/>
  <c r="P37" i="42"/>
  <c r="P38" i="42" s="1"/>
  <c r="F14" i="47" s="1"/>
  <c r="G14" i="47" s="1"/>
  <c r="H14" i="47" s="1"/>
  <c r="U41" i="42" l="1"/>
  <c r="Q37" i="42"/>
  <c r="R37" i="42" s="1"/>
  <c r="T43" i="42" s="1"/>
  <c r="U42" i="42"/>
  <c r="T37" i="42" l="1"/>
  <c r="T42" i="42" s="1"/>
  <c r="R44" i="42" s="1"/>
  <c r="S37" i="42" l="1"/>
</calcChain>
</file>

<file path=xl/comments1.xml><?xml version="1.0" encoding="utf-8"?>
<comments xmlns="http://schemas.openxmlformats.org/spreadsheetml/2006/main">
  <authors>
    <author>오정환</author>
  </authors>
  <commentList>
    <comment ref="T2" authorId="0" shapeId="0">
      <text>
        <r>
          <rPr>
            <b/>
            <sz val="9"/>
            <color indexed="81"/>
            <rFont val="돋움"/>
            <family val="3"/>
            <charset val="129"/>
          </rPr>
          <t>오정환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돈화문은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낙착율</t>
        </r>
        <r>
          <rPr>
            <sz val="9"/>
            <color indexed="81"/>
            <rFont val="Tahoma"/>
            <family val="2"/>
          </rPr>
          <t xml:space="preserve"> : 0.87776
</t>
        </r>
        <r>
          <rPr>
            <sz val="9"/>
            <color indexed="81"/>
            <rFont val="돋움"/>
            <family val="3"/>
            <charset val="129"/>
          </rPr>
          <t>세종은</t>
        </r>
        <r>
          <rPr>
            <sz val="9"/>
            <color indexed="81"/>
            <rFont val="Tahoma"/>
            <family val="2"/>
          </rPr>
          <t xml:space="preserve"> : 0.87745
</t>
        </r>
        <r>
          <rPr>
            <sz val="9"/>
            <color indexed="81"/>
            <rFont val="돋움"/>
            <family val="3"/>
            <charset val="129"/>
          </rPr>
          <t>낙찰율</t>
        </r>
        <r>
          <rPr>
            <sz val="9"/>
            <color indexed="81"/>
            <rFont val="Tahoma"/>
            <family val="2"/>
          </rPr>
          <t>=</t>
        </r>
        <r>
          <rPr>
            <sz val="9"/>
            <color indexed="81"/>
            <rFont val="돋움"/>
            <family val="3"/>
            <charset val="129"/>
          </rPr>
          <t>입찰가격</t>
        </r>
        <r>
          <rPr>
            <sz val="9"/>
            <color indexed="81"/>
            <rFont val="Tahoma"/>
            <family val="2"/>
          </rPr>
          <t>/</t>
        </r>
        <r>
          <rPr>
            <sz val="9"/>
            <color indexed="81"/>
            <rFont val="돋움"/>
            <family val="3"/>
            <charset val="129"/>
          </rPr>
          <t xml:space="preserve">예정가격
</t>
        </r>
        <r>
          <rPr>
            <sz val="9"/>
            <color indexed="81"/>
            <rFont val="Tahoma"/>
            <family val="2"/>
          </rPr>
          <t>x=80.5(80.495)</t>
        </r>
      </text>
    </comment>
    <comment ref="R4" authorId="0" shapeId="0">
      <text>
        <r>
          <rPr>
            <b/>
            <sz val="9"/>
            <color indexed="81"/>
            <rFont val="돋움"/>
            <family val="3"/>
            <charset val="129"/>
          </rPr>
          <t>오정환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입찰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예정가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산정</t>
        </r>
      </text>
    </comment>
    <comment ref="T6" authorId="0" shapeId="0">
      <text>
        <r>
          <rPr>
            <b/>
            <sz val="9"/>
            <color indexed="81"/>
            <rFont val="돋움"/>
            <family val="3"/>
            <charset val="129"/>
          </rPr>
          <t>오정환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낙찰율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고정값으로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지정됨</t>
        </r>
        <r>
          <rPr>
            <sz val="9"/>
            <color indexed="81"/>
            <rFont val="Tahoma"/>
            <family val="2"/>
          </rPr>
          <t>…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이상이면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낙찰되는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것</t>
        </r>
      </text>
    </comment>
    <comment ref="E9" authorId="0" shapeId="0">
      <text>
        <r>
          <rPr>
            <b/>
            <sz val="9"/>
            <color indexed="81"/>
            <rFont val="돋움"/>
            <family val="3"/>
            <charset val="129"/>
          </rPr>
          <t>오정환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근로기준법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56</t>
        </r>
        <r>
          <rPr>
            <sz val="9"/>
            <color indexed="81"/>
            <rFont val="돋움"/>
            <family val="3"/>
            <charset val="129"/>
          </rPr>
          <t>조에는</t>
        </r>
        <r>
          <rPr>
            <sz val="9"/>
            <color indexed="81"/>
            <rFont val="Tahoma"/>
            <family val="2"/>
          </rPr>
          <t xml:space="preserve"> '</t>
        </r>
        <r>
          <rPr>
            <sz val="9"/>
            <color indexed="81"/>
            <rFont val="돋움"/>
            <family val="3"/>
            <charset val="129"/>
          </rPr>
          <t>연장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야간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휴일근로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수당이라는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제목으로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통상임금의</t>
        </r>
        <r>
          <rPr>
            <sz val="9"/>
            <color indexed="81"/>
            <rFont val="Tahoma"/>
            <family val="2"/>
          </rPr>
          <t xml:space="preserve"> 50%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가산하여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지급해야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한다</t>
        </r>
        <r>
          <rPr>
            <sz val="9"/>
            <color indexed="81"/>
            <rFont val="Tahoma"/>
            <family val="2"/>
          </rPr>
          <t>'</t>
        </r>
      </text>
    </comment>
    <comment ref="F9" authorId="0" shapeId="0">
      <text>
        <r>
          <rPr>
            <b/>
            <sz val="9"/>
            <color indexed="81"/>
            <rFont val="돋움"/>
            <family val="3"/>
            <charset val="129"/>
          </rPr>
          <t>오정환</t>
        </r>
        <r>
          <rPr>
            <b/>
            <sz val="9"/>
            <color indexed="81"/>
            <rFont val="Tahoma"/>
            <family val="2"/>
          </rPr>
          <t>:
1</t>
        </r>
        <r>
          <rPr>
            <b/>
            <sz val="9"/>
            <color indexed="81"/>
            <rFont val="돋움"/>
            <family val="3"/>
            <charset val="129"/>
          </rPr>
          <t>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간의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근로시간은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휴게시간을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제외하고</t>
        </r>
        <r>
          <rPr>
            <b/>
            <sz val="9"/>
            <color indexed="81"/>
            <rFont val="Tahoma"/>
            <family val="2"/>
          </rPr>
          <t xml:space="preserve"> 40</t>
        </r>
        <r>
          <rPr>
            <b/>
            <sz val="9"/>
            <color indexed="81"/>
            <rFont val="돋움"/>
            <family val="3"/>
            <charset val="129"/>
          </rPr>
          <t>시간을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초과할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없다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제</t>
        </r>
        <r>
          <rPr>
            <b/>
            <sz val="9"/>
            <color indexed="81"/>
            <rFont val="Tahoma"/>
            <family val="2"/>
          </rPr>
          <t>50</t>
        </r>
        <r>
          <rPr>
            <b/>
            <sz val="9"/>
            <color indexed="81"/>
            <rFont val="돋움"/>
            <family val="3"/>
            <charset val="129"/>
          </rPr>
          <t>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제</t>
        </r>
        <r>
          <rPr>
            <b/>
            <sz val="9"/>
            <color indexed="81"/>
            <rFont val="Tahoma"/>
            <family val="2"/>
          </rPr>
          <t>1</t>
        </r>
        <r>
          <rPr>
            <b/>
            <sz val="9"/>
            <color indexed="81"/>
            <rFont val="돋움"/>
            <family val="3"/>
            <charset val="129"/>
          </rPr>
          <t>항</t>
        </r>
        <r>
          <rPr>
            <b/>
            <sz val="9"/>
            <color indexed="81"/>
            <rFont val="Tahoma"/>
            <family val="2"/>
          </rPr>
          <t>).
1</t>
        </r>
        <r>
          <rPr>
            <b/>
            <sz val="9"/>
            <color indexed="81"/>
            <rFont val="돋움"/>
            <family val="3"/>
            <charset val="129"/>
          </rPr>
          <t>일의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근로시간은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휴게시간을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제외하고</t>
        </r>
        <r>
          <rPr>
            <b/>
            <sz val="9"/>
            <color indexed="81"/>
            <rFont val="Tahoma"/>
            <family val="2"/>
          </rPr>
          <t xml:space="preserve"> 8</t>
        </r>
        <r>
          <rPr>
            <b/>
            <sz val="9"/>
            <color indexed="81"/>
            <rFont val="돋움"/>
            <family val="3"/>
            <charset val="129"/>
          </rPr>
          <t>시간</t>
        </r>
        <r>
          <rPr>
            <b/>
            <sz val="9"/>
            <color indexed="81"/>
            <rFont val="Tahoma"/>
            <family val="2"/>
          </rPr>
          <t>(15</t>
        </r>
        <r>
          <rPr>
            <b/>
            <sz val="9"/>
            <color indexed="81"/>
            <rFont val="돋움"/>
            <family val="3"/>
            <charset val="129"/>
          </rPr>
          <t>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이상</t>
        </r>
        <r>
          <rPr>
            <b/>
            <sz val="9"/>
            <color indexed="81"/>
            <rFont val="Tahoma"/>
            <family val="2"/>
          </rPr>
          <t xml:space="preserve"> 18</t>
        </r>
        <r>
          <rPr>
            <b/>
            <sz val="9"/>
            <color indexed="81"/>
            <rFont val="돋움"/>
            <family val="3"/>
            <charset val="129"/>
          </rPr>
          <t>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미만인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</t>
        </r>
        <r>
          <rPr>
            <b/>
            <sz val="9"/>
            <color indexed="81"/>
            <rFont val="Tahoma"/>
            <family val="2"/>
          </rPr>
          <t xml:space="preserve"> 7</t>
        </r>
        <r>
          <rPr>
            <b/>
            <sz val="9"/>
            <color indexed="81"/>
            <rFont val="돋움"/>
            <family val="3"/>
            <charset val="129"/>
          </rPr>
          <t>시간</t>
        </r>
        <r>
          <rPr>
            <b/>
            <sz val="9"/>
            <color indexed="81"/>
            <rFont val="Tahoma"/>
            <family val="2"/>
          </rPr>
          <t>)</t>
        </r>
        <r>
          <rPr>
            <b/>
            <sz val="9"/>
            <color indexed="81"/>
            <rFont val="돋움"/>
            <family val="3"/>
            <charset val="129"/>
          </rPr>
          <t>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초과할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없다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같은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제</t>
        </r>
        <r>
          <rPr>
            <b/>
            <sz val="9"/>
            <color indexed="81"/>
            <rFont val="Tahoma"/>
            <family val="2"/>
          </rPr>
          <t>2</t>
        </r>
        <r>
          <rPr>
            <b/>
            <sz val="9"/>
            <color indexed="81"/>
            <rFont val="돋움"/>
            <family val="3"/>
            <charset val="129"/>
          </rPr>
          <t>항</t>
        </r>
        <r>
          <rPr>
            <b/>
            <sz val="9"/>
            <color indexed="81"/>
            <rFont val="Tahoma"/>
            <family val="2"/>
          </rPr>
          <t>). 
15</t>
        </r>
        <r>
          <rPr>
            <b/>
            <sz val="9"/>
            <color indexed="81"/>
            <rFont val="돋움"/>
            <family val="3"/>
            <charset val="129"/>
          </rPr>
          <t>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이상</t>
        </r>
        <r>
          <rPr>
            <b/>
            <sz val="9"/>
            <color indexed="81"/>
            <rFont val="Tahoma"/>
            <family val="2"/>
          </rPr>
          <t xml:space="preserve"> 18</t>
        </r>
        <r>
          <rPr>
            <b/>
            <sz val="9"/>
            <color indexed="81"/>
            <rFont val="돋움"/>
            <family val="3"/>
            <charset val="129"/>
          </rPr>
          <t>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미만인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자의</t>
        </r>
        <r>
          <rPr>
            <b/>
            <sz val="9"/>
            <color indexed="81"/>
            <rFont val="Tahoma"/>
            <family val="2"/>
          </rPr>
          <t xml:space="preserve"> 1</t>
        </r>
        <r>
          <rPr>
            <b/>
            <sz val="9"/>
            <color indexed="81"/>
            <rFont val="돋움"/>
            <family val="3"/>
            <charset val="129"/>
          </rPr>
          <t>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근로시간은</t>
        </r>
        <r>
          <rPr>
            <b/>
            <sz val="9"/>
            <color indexed="81"/>
            <rFont val="Tahoma"/>
            <family val="2"/>
          </rPr>
          <t xml:space="preserve"> 7</t>
        </r>
        <r>
          <rPr>
            <b/>
            <sz val="9"/>
            <color indexed="81"/>
            <rFont val="돋움"/>
            <family val="3"/>
            <charset val="129"/>
          </rPr>
          <t>시간을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초과하지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못하나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제</t>
        </r>
        <r>
          <rPr>
            <b/>
            <sz val="9"/>
            <color indexed="81"/>
            <rFont val="Tahoma"/>
            <family val="2"/>
          </rPr>
          <t>69</t>
        </r>
        <r>
          <rPr>
            <b/>
            <sz val="9"/>
            <color indexed="81"/>
            <rFont val="돋움"/>
            <family val="3"/>
            <charset val="129"/>
          </rPr>
          <t>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본문</t>
        </r>
        <r>
          <rPr>
            <b/>
            <sz val="9"/>
            <color indexed="81"/>
            <rFont val="Tahoma"/>
            <family val="2"/>
          </rPr>
          <t xml:space="preserve">), 
</t>
        </r>
        <r>
          <rPr>
            <b/>
            <sz val="9"/>
            <color indexed="81"/>
            <rFont val="돋움"/>
            <family val="3"/>
            <charset val="129"/>
          </rPr>
          <t>당사자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사이의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합의에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따라</t>
        </r>
        <r>
          <rPr>
            <b/>
            <sz val="9"/>
            <color indexed="81"/>
            <rFont val="Tahoma"/>
            <family val="2"/>
          </rPr>
          <t xml:space="preserve"> 1</t>
        </r>
        <r>
          <rPr>
            <b/>
            <sz val="9"/>
            <color indexed="81"/>
            <rFont val="돋움"/>
            <family val="3"/>
            <charset val="129"/>
          </rPr>
          <t>시간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연장할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있다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같은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단서</t>
        </r>
        <r>
          <rPr>
            <b/>
            <sz val="9"/>
            <color indexed="81"/>
            <rFont val="Tahoma"/>
            <family val="2"/>
          </rPr>
          <t xml:space="preserve">).
</t>
        </r>
        <r>
          <rPr>
            <b/>
            <sz val="9"/>
            <color indexed="81"/>
            <rFont val="돋움"/>
            <family val="3"/>
            <charset val="129"/>
          </rPr>
          <t>이상의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규정에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위반한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처벌을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받는다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제</t>
        </r>
        <r>
          <rPr>
            <b/>
            <sz val="9"/>
            <color indexed="81"/>
            <rFont val="Tahoma"/>
            <family val="2"/>
          </rPr>
          <t>110</t>
        </r>
        <r>
          <rPr>
            <b/>
            <sz val="9"/>
            <color indexed="81"/>
            <rFont val="돋움"/>
            <family val="3"/>
            <charset val="129"/>
          </rPr>
          <t>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제</t>
        </r>
        <r>
          <rPr>
            <b/>
            <sz val="9"/>
            <color indexed="81"/>
            <rFont val="Tahoma"/>
            <family val="2"/>
          </rPr>
          <t>1</t>
        </r>
        <r>
          <rPr>
            <b/>
            <sz val="9"/>
            <color indexed="81"/>
            <rFont val="돋움"/>
            <family val="3"/>
            <charset val="129"/>
          </rPr>
          <t>호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제</t>
        </r>
        <r>
          <rPr>
            <b/>
            <sz val="9"/>
            <color indexed="81"/>
            <rFont val="Tahoma"/>
            <family val="2"/>
          </rPr>
          <t>115</t>
        </r>
        <r>
          <rPr>
            <b/>
            <sz val="9"/>
            <color indexed="81"/>
            <rFont val="돋움"/>
            <family val="3"/>
            <charset val="129"/>
          </rPr>
          <t>조</t>
        </r>
        <r>
          <rPr>
            <b/>
            <sz val="9"/>
            <color indexed="81"/>
            <rFont val="Tahoma"/>
            <family val="2"/>
          </rPr>
          <t xml:space="preserve">. </t>
        </r>
        <r>
          <rPr>
            <b/>
            <sz val="9"/>
            <color indexed="81"/>
            <rFont val="돋움"/>
            <family val="3"/>
            <charset val="129"/>
          </rPr>
          <t>양벌규정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있음</t>
        </r>
        <r>
          <rPr>
            <b/>
            <sz val="9"/>
            <color indexed="81"/>
            <rFont val="Tahoma"/>
            <family val="2"/>
          </rPr>
          <t xml:space="preserve">).
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근로기준법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50</t>
        </r>
        <r>
          <rPr>
            <sz val="9"/>
            <color indexed="81"/>
            <rFont val="돋움"/>
            <family val="3"/>
            <charset val="129"/>
          </rPr>
          <t>조에는</t>
        </r>
        <r>
          <rPr>
            <sz val="9"/>
            <color indexed="81"/>
            <rFont val="Tahoma"/>
            <family val="2"/>
          </rPr>
          <t xml:space="preserve"> 
'1</t>
        </r>
        <r>
          <rPr>
            <sz val="9"/>
            <color indexed="81"/>
            <rFont val="돋움"/>
            <family val="3"/>
            <charset val="129"/>
          </rPr>
          <t>일</t>
        </r>
        <r>
          <rPr>
            <sz val="9"/>
            <color indexed="81"/>
            <rFont val="Tahoma"/>
            <family val="2"/>
          </rPr>
          <t xml:space="preserve"> 8</t>
        </r>
        <r>
          <rPr>
            <sz val="9"/>
            <color indexed="81"/>
            <rFont val="돋움"/>
            <family val="3"/>
            <charset val="129"/>
          </rPr>
          <t>시간</t>
        </r>
        <r>
          <rPr>
            <sz val="9"/>
            <color indexed="81"/>
            <rFont val="Tahoma"/>
            <family val="2"/>
          </rPr>
          <t>, 1</t>
        </r>
        <r>
          <rPr>
            <sz val="9"/>
            <color indexed="81"/>
            <rFont val="돋움"/>
            <family val="3"/>
            <charset val="129"/>
          </rPr>
          <t>주</t>
        </r>
        <r>
          <rPr>
            <sz val="9"/>
            <color indexed="81"/>
            <rFont val="Tahoma"/>
            <family val="2"/>
          </rPr>
          <t xml:space="preserve"> 40</t>
        </r>
        <r>
          <rPr>
            <sz val="9"/>
            <color indexed="81"/>
            <rFont val="돋움"/>
            <family val="3"/>
            <charset val="129"/>
          </rPr>
          <t>시간</t>
        </r>
        <r>
          <rPr>
            <sz val="9"/>
            <color indexed="81"/>
            <rFont val="Tahoma"/>
            <family val="2"/>
          </rPr>
          <t xml:space="preserve"> (</t>
        </r>
        <r>
          <rPr>
            <sz val="9"/>
            <color indexed="81"/>
            <rFont val="돋움"/>
            <family val="3"/>
            <charset val="129"/>
          </rPr>
          <t>휴게시간제외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근로시간을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없다</t>
        </r>
        <r>
          <rPr>
            <sz val="9"/>
            <color indexed="81"/>
            <rFont val="Tahoma"/>
            <family val="2"/>
          </rPr>
          <t xml:space="preserve">'
</t>
        </r>
        <r>
          <rPr>
            <sz val="9"/>
            <color indexed="81"/>
            <rFont val="돋움"/>
            <family val="3"/>
            <charset val="129"/>
          </rPr>
          <t>①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일</t>
        </r>
        <r>
          <rPr>
            <sz val="9"/>
            <color indexed="81"/>
            <rFont val="Tahoma"/>
            <family val="2"/>
          </rPr>
          <t xml:space="preserve"> 8</t>
        </r>
        <r>
          <rPr>
            <sz val="9"/>
            <color indexed="81"/>
            <rFont val="돋움"/>
            <family val="3"/>
            <charset val="129"/>
          </rPr>
          <t>시간을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넘었을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때</t>
        </r>
        <r>
          <rPr>
            <sz val="9"/>
            <color indexed="81"/>
            <rFont val="Tahoma"/>
            <family val="2"/>
          </rPr>
          <t xml:space="preserve"> 
</t>
        </r>
        <r>
          <rPr>
            <sz val="9"/>
            <color indexed="81"/>
            <rFont val="돋움"/>
            <family val="3"/>
            <charset val="129"/>
          </rPr>
          <t>시급이</t>
        </r>
        <r>
          <rPr>
            <sz val="9"/>
            <color indexed="81"/>
            <rFont val="Tahoma"/>
            <family val="2"/>
          </rPr>
          <t xml:space="preserve"> 6000</t>
        </r>
        <r>
          <rPr>
            <sz val="9"/>
            <color indexed="81"/>
            <rFont val="돋움"/>
            <family val="3"/>
            <charset val="129"/>
          </rPr>
          <t>원인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근로자가</t>
        </r>
        <r>
          <rPr>
            <sz val="9"/>
            <color indexed="81"/>
            <rFont val="Tahoma"/>
            <family val="2"/>
          </rPr>
          <t xml:space="preserve"> 09:00~20:00 </t>
        </r>
        <r>
          <rPr>
            <sz val="9"/>
            <color indexed="81"/>
            <rFont val="돋움"/>
            <family val="3"/>
            <charset val="129"/>
          </rPr>
          <t>까지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근로를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점심시간은</t>
        </r>
        <r>
          <rPr>
            <sz val="9"/>
            <color indexed="81"/>
            <rFont val="Tahoma"/>
            <family val="2"/>
          </rPr>
          <t xml:space="preserve"> 12:00~13:00 </t>
        </r>
        <r>
          <rPr>
            <sz val="9"/>
            <color indexed="81"/>
            <rFont val="돋움"/>
            <family val="3"/>
            <charset val="129"/>
          </rPr>
          <t>라고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한다면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근로자의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근로시간은</t>
        </r>
        <r>
          <rPr>
            <sz val="9"/>
            <color indexed="81"/>
            <rFont val="Tahoma"/>
            <family val="2"/>
          </rPr>
          <t xml:space="preserve"> 10</t>
        </r>
        <r>
          <rPr>
            <sz val="9"/>
            <color indexed="81"/>
            <rFont val="돋움"/>
            <family val="3"/>
            <charset val="129"/>
          </rPr>
          <t>시간이고</t>
        </r>
        <r>
          <rPr>
            <sz val="9"/>
            <color indexed="81"/>
            <rFont val="Tahoma"/>
            <family val="2"/>
          </rPr>
          <t xml:space="preserve"> 2</t>
        </r>
        <r>
          <rPr>
            <sz val="9"/>
            <color indexed="81"/>
            <rFont val="돋움"/>
            <family val="3"/>
            <charset val="129"/>
          </rPr>
          <t>시간의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연장근로가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발생합니다</t>
        </r>
        <r>
          <rPr>
            <sz val="9"/>
            <color indexed="81"/>
            <rFont val="Tahoma"/>
            <family val="2"/>
          </rPr>
          <t xml:space="preserve">. 
</t>
        </r>
        <r>
          <rPr>
            <sz val="9"/>
            <color indexed="81"/>
            <rFont val="돋움"/>
            <family val="3"/>
            <charset val="129"/>
          </rPr>
          <t>따라서</t>
        </r>
        <r>
          <rPr>
            <sz val="9"/>
            <color indexed="81"/>
            <rFont val="Tahoma"/>
            <family val="2"/>
          </rPr>
          <t>, '(</t>
        </r>
        <r>
          <rPr>
            <sz val="9"/>
            <color indexed="81"/>
            <rFont val="돋움"/>
            <family val="3"/>
            <charset val="129"/>
          </rPr>
          <t>기본근로</t>
        </r>
        <r>
          <rPr>
            <sz val="9"/>
            <color indexed="81"/>
            <rFont val="Tahoma"/>
            <family val="2"/>
          </rPr>
          <t>)8</t>
        </r>
        <r>
          <rPr>
            <sz val="9"/>
            <color indexed="81"/>
            <rFont val="돋움"/>
            <family val="3"/>
            <charset val="129"/>
          </rPr>
          <t>시간</t>
        </r>
        <r>
          <rPr>
            <sz val="9"/>
            <color indexed="81"/>
            <rFont val="Tahoma"/>
            <family val="2"/>
          </rPr>
          <t>X6000</t>
        </r>
        <r>
          <rPr>
            <sz val="9"/>
            <color indexed="81"/>
            <rFont val="돋움"/>
            <family val="3"/>
            <charset val="129"/>
          </rPr>
          <t>원</t>
        </r>
        <r>
          <rPr>
            <sz val="9"/>
            <color indexed="81"/>
            <rFont val="Tahoma"/>
            <family val="2"/>
          </rPr>
          <t xml:space="preserve"> + (</t>
        </r>
        <r>
          <rPr>
            <sz val="9"/>
            <color indexed="81"/>
            <rFont val="돋움"/>
            <family val="3"/>
            <charset val="129"/>
          </rPr>
          <t>연장근로</t>
        </r>
        <r>
          <rPr>
            <sz val="9"/>
            <color indexed="81"/>
            <rFont val="Tahoma"/>
            <family val="2"/>
          </rPr>
          <t>)2</t>
        </r>
        <r>
          <rPr>
            <sz val="9"/>
            <color indexed="81"/>
            <rFont val="돋움"/>
            <family val="3"/>
            <charset val="129"/>
          </rPr>
          <t>시간</t>
        </r>
        <r>
          <rPr>
            <sz val="9"/>
            <color indexed="81"/>
            <rFont val="Tahoma"/>
            <family val="2"/>
          </rPr>
          <t>X6000</t>
        </r>
        <r>
          <rPr>
            <sz val="9"/>
            <color indexed="81"/>
            <rFont val="돋움"/>
            <family val="3"/>
            <charset val="129"/>
          </rPr>
          <t>원</t>
        </r>
        <r>
          <rPr>
            <sz val="9"/>
            <color indexed="81"/>
            <rFont val="Tahoma"/>
            <family val="2"/>
          </rPr>
          <t>X1.5</t>
        </r>
        <r>
          <rPr>
            <sz val="9"/>
            <color indexed="81"/>
            <rFont val="돋움"/>
            <family val="3"/>
            <charset val="129"/>
          </rPr>
          <t>배</t>
        </r>
        <r>
          <rPr>
            <sz val="9"/>
            <color indexed="81"/>
            <rFont val="Tahoma"/>
            <family val="2"/>
          </rPr>
          <t>'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받게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됩니다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②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일</t>
        </r>
        <r>
          <rPr>
            <sz val="9"/>
            <color indexed="81"/>
            <rFont val="Tahoma"/>
            <family val="2"/>
          </rPr>
          <t xml:space="preserve"> 8</t>
        </r>
        <r>
          <rPr>
            <sz val="9"/>
            <color indexed="81"/>
            <rFont val="돋움"/>
            <family val="3"/>
            <charset val="129"/>
          </rPr>
          <t>시간은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되지만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주</t>
        </r>
        <r>
          <rPr>
            <sz val="9"/>
            <color indexed="81"/>
            <rFont val="Tahoma"/>
            <family val="2"/>
          </rPr>
          <t xml:space="preserve"> 40</t>
        </r>
        <r>
          <rPr>
            <sz val="9"/>
            <color indexed="81"/>
            <rFont val="돋움"/>
            <family val="3"/>
            <charset val="129"/>
          </rPr>
          <t>시간을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넘었을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때
시급이</t>
        </r>
        <r>
          <rPr>
            <sz val="9"/>
            <color indexed="81"/>
            <rFont val="Tahoma"/>
            <family val="2"/>
          </rPr>
          <t xml:space="preserve"> 6000</t>
        </r>
        <r>
          <rPr>
            <sz val="9"/>
            <color indexed="81"/>
            <rFont val="돋움"/>
            <family val="3"/>
            <charset val="129"/>
          </rPr>
          <t>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근로자가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하루에</t>
        </r>
        <r>
          <rPr>
            <sz val="9"/>
            <color indexed="81"/>
            <rFont val="Tahoma"/>
            <family val="2"/>
          </rPr>
          <t xml:space="preserve"> 09:00~18:00 </t>
        </r>
        <r>
          <rPr>
            <sz val="9"/>
            <color indexed="81"/>
            <rFont val="돋움"/>
            <family val="3"/>
            <charset val="129"/>
          </rPr>
          <t>까지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근무하고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점심시간은</t>
        </r>
        <r>
          <rPr>
            <sz val="9"/>
            <color indexed="81"/>
            <rFont val="Tahoma"/>
            <family val="2"/>
          </rPr>
          <t xml:space="preserve"> 12:00~13:00</t>
        </r>
        <r>
          <rPr>
            <sz val="9"/>
            <color indexed="81"/>
            <rFont val="돋움"/>
            <family val="3"/>
            <charset val="129"/>
          </rPr>
          <t>까지인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근로자가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월</t>
        </r>
        <r>
          <rPr>
            <sz val="9"/>
            <color indexed="81"/>
            <rFont val="Tahoma"/>
            <family val="2"/>
          </rPr>
          <t>~</t>
        </r>
        <r>
          <rPr>
            <sz val="9"/>
            <color indexed="81"/>
            <rFont val="돋움"/>
            <family val="3"/>
            <charset val="129"/>
          </rPr>
          <t>토요일까지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일을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되면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하루에</t>
        </r>
        <r>
          <rPr>
            <sz val="9"/>
            <color indexed="81"/>
            <rFont val="Tahoma"/>
            <family val="2"/>
          </rPr>
          <t xml:space="preserve"> 8</t>
        </r>
        <r>
          <rPr>
            <sz val="9"/>
            <color indexed="81"/>
            <rFont val="돋움"/>
            <family val="3"/>
            <charset val="129"/>
          </rPr>
          <t>시간을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근무하므로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월</t>
        </r>
        <r>
          <rPr>
            <sz val="9"/>
            <color indexed="81"/>
            <rFont val="Tahoma"/>
            <family val="2"/>
          </rPr>
          <t>~</t>
        </r>
        <r>
          <rPr>
            <sz val="9"/>
            <color indexed="81"/>
            <rFont val="돋움"/>
            <family val="3"/>
            <charset val="129"/>
          </rPr>
          <t>금요일까지는</t>
        </r>
        <r>
          <rPr>
            <sz val="9"/>
            <color indexed="81"/>
            <rFont val="Tahoma"/>
            <family val="2"/>
          </rPr>
          <t xml:space="preserve"> 40</t>
        </r>
        <r>
          <rPr>
            <sz val="9"/>
            <color indexed="81"/>
            <rFont val="돋움"/>
            <family val="3"/>
            <charset val="129"/>
          </rPr>
          <t>시간을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근무하게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된다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그리고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토요일에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추가적으로</t>
        </r>
        <r>
          <rPr>
            <sz val="9"/>
            <color indexed="81"/>
            <rFont val="Tahoma"/>
            <family val="2"/>
          </rPr>
          <t xml:space="preserve"> 8</t>
        </r>
        <r>
          <rPr>
            <sz val="9"/>
            <color indexed="81"/>
            <rFont val="돋움"/>
            <family val="3"/>
            <charset val="129"/>
          </rPr>
          <t>시간을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근무하므로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주에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총</t>
        </r>
        <r>
          <rPr>
            <sz val="9"/>
            <color indexed="81"/>
            <rFont val="Tahoma"/>
            <family val="2"/>
          </rPr>
          <t xml:space="preserve"> 48</t>
        </r>
        <r>
          <rPr>
            <sz val="9"/>
            <color indexed="81"/>
            <rFont val="돋움"/>
            <family val="3"/>
            <charset val="129"/>
          </rPr>
          <t>시간을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근무하는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것이고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토요일의</t>
        </r>
        <r>
          <rPr>
            <sz val="9"/>
            <color indexed="81"/>
            <rFont val="Tahoma"/>
            <family val="2"/>
          </rPr>
          <t xml:space="preserve"> 8</t>
        </r>
        <r>
          <rPr>
            <sz val="9"/>
            <color indexed="81"/>
            <rFont val="돋움"/>
            <family val="3"/>
            <charset val="129"/>
          </rPr>
          <t>시간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전체는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연장근로에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포함된다</t>
        </r>
        <r>
          <rPr>
            <sz val="9"/>
            <color indexed="81"/>
            <rFont val="Tahoma"/>
            <family val="2"/>
          </rPr>
          <t xml:space="preserve">.
</t>
        </r>
        <r>
          <rPr>
            <sz val="9"/>
            <color indexed="81"/>
            <rFont val="돋움"/>
            <family val="3"/>
            <charset val="129"/>
          </rPr>
          <t>따라서</t>
        </r>
        <r>
          <rPr>
            <sz val="9"/>
            <color indexed="81"/>
            <rFont val="Tahoma"/>
            <family val="2"/>
          </rPr>
          <t>, '(</t>
        </r>
        <r>
          <rPr>
            <sz val="9"/>
            <color indexed="81"/>
            <rFont val="돋움"/>
            <family val="3"/>
            <charset val="129"/>
          </rPr>
          <t>토요일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연장근로</t>
        </r>
        <r>
          <rPr>
            <sz val="9"/>
            <color indexed="81"/>
            <rFont val="Tahoma"/>
            <family val="2"/>
          </rPr>
          <t>)8</t>
        </r>
        <r>
          <rPr>
            <sz val="9"/>
            <color indexed="81"/>
            <rFont val="돋움"/>
            <family val="3"/>
            <charset val="129"/>
          </rPr>
          <t>시간</t>
        </r>
        <r>
          <rPr>
            <sz val="9"/>
            <color indexed="81"/>
            <rFont val="Tahoma"/>
            <family val="2"/>
          </rPr>
          <t>X6000</t>
        </r>
        <r>
          <rPr>
            <sz val="9"/>
            <color indexed="81"/>
            <rFont val="돋움"/>
            <family val="3"/>
            <charset val="129"/>
          </rPr>
          <t>원</t>
        </r>
        <r>
          <rPr>
            <sz val="9"/>
            <color indexed="81"/>
            <rFont val="Tahoma"/>
            <family val="2"/>
          </rPr>
          <t>X1.5</t>
        </r>
        <r>
          <rPr>
            <sz val="9"/>
            <color indexed="81"/>
            <rFont val="돋움"/>
            <family val="3"/>
            <charset val="129"/>
          </rPr>
          <t>배</t>
        </r>
        <r>
          <rPr>
            <sz val="9"/>
            <color indexed="81"/>
            <rFont val="Tahoma"/>
            <family val="2"/>
          </rPr>
          <t>'</t>
        </r>
        <r>
          <rPr>
            <sz val="9"/>
            <color indexed="81"/>
            <rFont val="돋움"/>
            <family val="3"/>
            <charset val="129"/>
          </rPr>
          <t>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추가지급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되어야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한다</t>
        </r>
        <r>
          <rPr>
            <sz val="9"/>
            <color indexed="81"/>
            <rFont val="Tahoma"/>
            <family val="2"/>
          </rPr>
          <t>.</t>
        </r>
      </text>
    </comment>
    <comment ref="E33" authorId="0" shapeId="0">
      <text>
        <r>
          <rPr>
            <b/>
            <sz val="9"/>
            <color indexed="81"/>
            <rFont val="돋움"/>
            <family val="3"/>
            <charset val="129"/>
          </rPr>
          <t>오정환</t>
        </r>
        <r>
          <rPr>
            <b/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돋움"/>
            <family val="3"/>
            <charset val="129"/>
          </rPr>
          <t>국가를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당사자로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하는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계약에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관한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법률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시행규칙</t>
        </r>
        <r>
          <rPr>
            <b/>
            <sz val="9"/>
            <color indexed="81"/>
            <rFont val="Tahoma"/>
            <family val="2"/>
          </rPr>
          <t xml:space="preserve"> ( </t>
        </r>
        <r>
          <rPr>
            <b/>
            <sz val="9"/>
            <color indexed="81"/>
            <rFont val="돋움"/>
            <family val="3"/>
            <charset val="129"/>
          </rPr>
          <t>약칭</t>
        </r>
        <r>
          <rPr>
            <b/>
            <sz val="9"/>
            <color indexed="81"/>
            <rFont val="Tahoma"/>
            <family val="2"/>
          </rPr>
          <t xml:space="preserve">: </t>
        </r>
        <r>
          <rPr>
            <b/>
            <sz val="9"/>
            <color indexed="81"/>
            <rFont val="돋움"/>
            <family val="3"/>
            <charset val="129"/>
          </rPr>
          <t>국가계약법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시행규칙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마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일반관리비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등
</t>
        </r>
        <r>
          <rPr>
            <sz val="9"/>
            <color indexed="81"/>
            <rFont val="Tahoma"/>
            <family val="2"/>
          </rPr>
          <t xml:space="preserve">(1) </t>
        </r>
        <r>
          <rPr>
            <sz val="9"/>
            <color indexed="81"/>
            <rFont val="돋움"/>
            <family val="3"/>
            <charset val="129"/>
          </rPr>
          <t>계약금액의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증감액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일반관리비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이윤율은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산출
내역서상의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일반관리비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이윤율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의하되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국가계약법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시행규칙
제</t>
        </r>
        <r>
          <rPr>
            <sz val="9"/>
            <color indexed="81"/>
            <rFont val="Tahoma"/>
            <family val="2"/>
          </rPr>
          <t>8</t>
        </r>
        <r>
          <rPr>
            <sz val="9"/>
            <color indexed="81"/>
            <rFont val="돋움"/>
            <family val="3"/>
            <charset val="129"/>
          </rPr>
          <t>조에서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정한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율을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없다</t>
        </r>
        <r>
          <rPr>
            <sz val="9"/>
            <color indexed="81"/>
            <rFont val="Tahoma"/>
            <family val="2"/>
          </rPr>
          <t xml:space="preserve">.
(2) </t>
        </r>
        <r>
          <rPr>
            <sz val="9"/>
            <color indexed="81"/>
            <rFont val="돋움"/>
            <family val="3"/>
            <charset val="129"/>
          </rPr>
          <t>재료비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증가에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제경비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증액분은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당초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계약서상의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산정방식에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의거
산정하여야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것임</t>
        </r>
      </text>
    </comment>
  </commentList>
</comments>
</file>

<file path=xl/comments2.xml><?xml version="1.0" encoding="utf-8"?>
<comments xmlns="http://schemas.openxmlformats.org/spreadsheetml/2006/main">
  <authors>
    <author>오정환</author>
  </authors>
  <commentList>
    <comment ref="T2" authorId="0" shapeId="0">
      <text>
        <r>
          <rPr>
            <b/>
            <sz val="9"/>
            <color indexed="81"/>
            <rFont val="돋움"/>
            <family val="3"/>
            <charset val="129"/>
          </rPr>
          <t>오정환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돈화문은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낙착율</t>
        </r>
        <r>
          <rPr>
            <sz val="9"/>
            <color indexed="81"/>
            <rFont val="Tahoma"/>
            <family val="2"/>
          </rPr>
          <t xml:space="preserve"> : 0.87776
</t>
        </r>
        <r>
          <rPr>
            <sz val="9"/>
            <color indexed="81"/>
            <rFont val="돋움"/>
            <family val="3"/>
            <charset val="129"/>
          </rPr>
          <t>세종은</t>
        </r>
        <r>
          <rPr>
            <sz val="9"/>
            <color indexed="81"/>
            <rFont val="Tahoma"/>
            <family val="2"/>
          </rPr>
          <t xml:space="preserve"> : 0.87745
</t>
        </r>
        <r>
          <rPr>
            <sz val="9"/>
            <color indexed="81"/>
            <rFont val="돋움"/>
            <family val="3"/>
            <charset val="129"/>
          </rPr>
          <t>낙찰율</t>
        </r>
        <r>
          <rPr>
            <sz val="9"/>
            <color indexed="81"/>
            <rFont val="Tahoma"/>
            <family val="2"/>
          </rPr>
          <t>=</t>
        </r>
        <r>
          <rPr>
            <sz val="9"/>
            <color indexed="81"/>
            <rFont val="돋움"/>
            <family val="3"/>
            <charset val="129"/>
          </rPr>
          <t>입찰가격</t>
        </r>
        <r>
          <rPr>
            <sz val="9"/>
            <color indexed="81"/>
            <rFont val="Tahoma"/>
            <family val="2"/>
          </rPr>
          <t>/</t>
        </r>
        <r>
          <rPr>
            <sz val="9"/>
            <color indexed="81"/>
            <rFont val="돋움"/>
            <family val="3"/>
            <charset val="129"/>
          </rPr>
          <t xml:space="preserve">예정가격
</t>
        </r>
        <r>
          <rPr>
            <sz val="9"/>
            <color indexed="81"/>
            <rFont val="Tahoma"/>
            <family val="2"/>
          </rPr>
          <t>x=80.5(80.495)</t>
        </r>
      </text>
    </comment>
    <comment ref="R4" authorId="0" shapeId="0">
      <text>
        <r>
          <rPr>
            <b/>
            <sz val="9"/>
            <color indexed="81"/>
            <rFont val="돋움"/>
            <family val="3"/>
            <charset val="129"/>
          </rPr>
          <t>오정환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입찰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예정가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산정</t>
        </r>
      </text>
    </comment>
    <comment ref="T6" authorId="0" shapeId="0">
      <text>
        <r>
          <rPr>
            <b/>
            <sz val="9"/>
            <color indexed="81"/>
            <rFont val="돋움"/>
            <family val="3"/>
            <charset val="129"/>
          </rPr>
          <t>오정환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낙찰율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고정값으로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지정됨</t>
        </r>
        <r>
          <rPr>
            <sz val="9"/>
            <color indexed="81"/>
            <rFont val="Tahoma"/>
            <family val="2"/>
          </rPr>
          <t>…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이상이면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낙찰되는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것</t>
        </r>
      </text>
    </comment>
    <comment ref="E9" authorId="0" shapeId="0">
      <text>
        <r>
          <rPr>
            <b/>
            <sz val="9"/>
            <color indexed="81"/>
            <rFont val="돋움"/>
            <family val="3"/>
            <charset val="129"/>
          </rPr>
          <t>오정환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근로기준법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56</t>
        </r>
        <r>
          <rPr>
            <sz val="9"/>
            <color indexed="81"/>
            <rFont val="돋움"/>
            <family val="3"/>
            <charset val="129"/>
          </rPr>
          <t>조에는</t>
        </r>
        <r>
          <rPr>
            <sz val="9"/>
            <color indexed="81"/>
            <rFont val="Tahoma"/>
            <family val="2"/>
          </rPr>
          <t xml:space="preserve"> '</t>
        </r>
        <r>
          <rPr>
            <sz val="9"/>
            <color indexed="81"/>
            <rFont val="돋움"/>
            <family val="3"/>
            <charset val="129"/>
          </rPr>
          <t>연장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야간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휴일근로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수당이라는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제목으로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통상임금의</t>
        </r>
        <r>
          <rPr>
            <sz val="9"/>
            <color indexed="81"/>
            <rFont val="Tahoma"/>
            <family val="2"/>
          </rPr>
          <t xml:space="preserve"> 50%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가산하여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지급해야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한다</t>
        </r>
        <r>
          <rPr>
            <sz val="9"/>
            <color indexed="81"/>
            <rFont val="Tahoma"/>
            <family val="2"/>
          </rPr>
          <t>'</t>
        </r>
      </text>
    </comment>
    <comment ref="F9" authorId="0" shapeId="0">
      <text>
        <r>
          <rPr>
            <b/>
            <sz val="9"/>
            <color indexed="81"/>
            <rFont val="돋움"/>
            <family val="3"/>
            <charset val="129"/>
          </rPr>
          <t>오정환</t>
        </r>
        <r>
          <rPr>
            <b/>
            <sz val="9"/>
            <color indexed="81"/>
            <rFont val="Tahoma"/>
            <family val="2"/>
          </rPr>
          <t>:
1</t>
        </r>
        <r>
          <rPr>
            <b/>
            <sz val="9"/>
            <color indexed="81"/>
            <rFont val="돋움"/>
            <family val="3"/>
            <charset val="129"/>
          </rPr>
          <t>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간의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근로시간은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휴게시간을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제외하고</t>
        </r>
        <r>
          <rPr>
            <b/>
            <sz val="9"/>
            <color indexed="81"/>
            <rFont val="Tahoma"/>
            <family val="2"/>
          </rPr>
          <t xml:space="preserve"> 40</t>
        </r>
        <r>
          <rPr>
            <b/>
            <sz val="9"/>
            <color indexed="81"/>
            <rFont val="돋움"/>
            <family val="3"/>
            <charset val="129"/>
          </rPr>
          <t>시간을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초과할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없다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제</t>
        </r>
        <r>
          <rPr>
            <b/>
            <sz val="9"/>
            <color indexed="81"/>
            <rFont val="Tahoma"/>
            <family val="2"/>
          </rPr>
          <t>50</t>
        </r>
        <r>
          <rPr>
            <b/>
            <sz val="9"/>
            <color indexed="81"/>
            <rFont val="돋움"/>
            <family val="3"/>
            <charset val="129"/>
          </rPr>
          <t>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제</t>
        </r>
        <r>
          <rPr>
            <b/>
            <sz val="9"/>
            <color indexed="81"/>
            <rFont val="Tahoma"/>
            <family val="2"/>
          </rPr>
          <t>1</t>
        </r>
        <r>
          <rPr>
            <b/>
            <sz val="9"/>
            <color indexed="81"/>
            <rFont val="돋움"/>
            <family val="3"/>
            <charset val="129"/>
          </rPr>
          <t>항</t>
        </r>
        <r>
          <rPr>
            <b/>
            <sz val="9"/>
            <color indexed="81"/>
            <rFont val="Tahoma"/>
            <family val="2"/>
          </rPr>
          <t>).
1</t>
        </r>
        <r>
          <rPr>
            <b/>
            <sz val="9"/>
            <color indexed="81"/>
            <rFont val="돋움"/>
            <family val="3"/>
            <charset val="129"/>
          </rPr>
          <t>일의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근로시간은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휴게시간을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제외하고</t>
        </r>
        <r>
          <rPr>
            <b/>
            <sz val="9"/>
            <color indexed="81"/>
            <rFont val="Tahoma"/>
            <family val="2"/>
          </rPr>
          <t xml:space="preserve"> 8</t>
        </r>
        <r>
          <rPr>
            <b/>
            <sz val="9"/>
            <color indexed="81"/>
            <rFont val="돋움"/>
            <family val="3"/>
            <charset val="129"/>
          </rPr>
          <t>시간</t>
        </r>
        <r>
          <rPr>
            <b/>
            <sz val="9"/>
            <color indexed="81"/>
            <rFont val="Tahoma"/>
            <family val="2"/>
          </rPr>
          <t>(15</t>
        </r>
        <r>
          <rPr>
            <b/>
            <sz val="9"/>
            <color indexed="81"/>
            <rFont val="돋움"/>
            <family val="3"/>
            <charset val="129"/>
          </rPr>
          <t>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이상</t>
        </r>
        <r>
          <rPr>
            <b/>
            <sz val="9"/>
            <color indexed="81"/>
            <rFont val="Tahoma"/>
            <family val="2"/>
          </rPr>
          <t xml:space="preserve"> 18</t>
        </r>
        <r>
          <rPr>
            <b/>
            <sz val="9"/>
            <color indexed="81"/>
            <rFont val="돋움"/>
            <family val="3"/>
            <charset val="129"/>
          </rPr>
          <t>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미만인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경우</t>
        </r>
        <r>
          <rPr>
            <b/>
            <sz val="9"/>
            <color indexed="81"/>
            <rFont val="Tahoma"/>
            <family val="2"/>
          </rPr>
          <t xml:space="preserve"> 7</t>
        </r>
        <r>
          <rPr>
            <b/>
            <sz val="9"/>
            <color indexed="81"/>
            <rFont val="돋움"/>
            <family val="3"/>
            <charset val="129"/>
          </rPr>
          <t>시간</t>
        </r>
        <r>
          <rPr>
            <b/>
            <sz val="9"/>
            <color indexed="81"/>
            <rFont val="Tahoma"/>
            <family val="2"/>
          </rPr>
          <t>)</t>
        </r>
        <r>
          <rPr>
            <b/>
            <sz val="9"/>
            <color indexed="81"/>
            <rFont val="돋움"/>
            <family val="3"/>
            <charset val="129"/>
          </rPr>
          <t>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초과할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없다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같은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제</t>
        </r>
        <r>
          <rPr>
            <b/>
            <sz val="9"/>
            <color indexed="81"/>
            <rFont val="Tahoma"/>
            <family val="2"/>
          </rPr>
          <t>2</t>
        </r>
        <r>
          <rPr>
            <b/>
            <sz val="9"/>
            <color indexed="81"/>
            <rFont val="돋움"/>
            <family val="3"/>
            <charset val="129"/>
          </rPr>
          <t>항</t>
        </r>
        <r>
          <rPr>
            <b/>
            <sz val="9"/>
            <color indexed="81"/>
            <rFont val="Tahoma"/>
            <family val="2"/>
          </rPr>
          <t>). 
15</t>
        </r>
        <r>
          <rPr>
            <b/>
            <sz val="9"/>
            <color indexed="81"/>
            <rFont val="돋움"/>
            <family val="3"/>
            <charset val="129"/>
          </rPr>
          <t>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이상</t>
        </r>
        <r>
          <rPr>
            <b/>
            <sz val="9"/>
            <color indexed="81"/>
            <rFont val="Tahoma"/>
            <family val="2"/>
          </rPr>
          <t xml:space="preserve"> 18</t>
        </r>
        <r>
          <rPr>
            <b/>
            <sz val="9"/>
            <color indexed="81"/>
            <rFont val="돋움"/>
            <family val="3"/>
            <charset val="129"/>
          </rPr>
          <t>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미만인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자의</t>
        </r>
        <r>
          <rPr>
            <b/>
            <sz val="9"/>
            <color indexed="81"/>
            <rFont val="Tahoma"/>
            <family val="2"/>
          </rPr>
          <t xml:space="preserve"> 1</t>
        </r>
        <r>
          <rPr>
            <b/>
            <sz val="9"/>
            <color indexed="81"/>
            <rFont val="돋움"/>
            <family val="3"/>
            <charset val="129"/>
          </rPr>
          <t>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근로시간은</t>
        </r>
        <r>
          <rPr>
            <b/>
            <sz val="9"/>
            <color indexed="81"/>
            <rFont val="Tahoma"/>
            <family val="2"/>
          </rPr>
          <t xml:space="preserve"> 7</t>
        </r>
        <r>
          <rPr>
            <b/>
            <sz val="9"/>
            <color indexed="81"/>
            <rFont val="돋움"/>
            <family val="3"/>
            <charset val="129"/>
          </rPr>
          <t>시간을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초과하지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못하나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제</t>
        </r>
        <r>
          <rPr>
            <b/>
            <sz val="9"/>
            <color indexed="81"/>
            <rFont val="Tahoma"/>
            <family val="2"/>
          </rPr>
          <t>69</t>
        </r>
        <r>
          <rPr>
            <b/>
            <sz val="9"/>
            <color indexed="81"/>
            <rFont val="돋움"/>
            <family val="3"/>
            <charset val="129"/>
          </rPr>
          <t>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본문</t>
        </r>
        <r>
          <rPr>
            <b/>
            <sz val="9"/>
            <color indexed="81"/>
            <rFont val="Tahoma"/>
            <family val="2"/>
          </rPr>
          <t xml:space="preserve">), 
</t>
        </r>
        <r>
          <rPr>
            <b/>
            <sz val="9"/>
            <color indexed="81"/>
            <rFont val="돋움"/>
            <family val="3"/>
            <charset val="129"/>
          </rPr>
          <t>당사자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사이의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합의에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따라</t>
        </r>
        <r>
          <rPr>
            <b/>
            <sz val="9"/>
            <color indexed="81"/>
            <rFont val="Tahoma"/>
            <family val="2"/>
          </rPr>
          <t xml:space="preserve"> 1</t>
        </r>
        <r>
          <rPr>
            <b/>
            <sz val="9"/>
            <color indexed="81"/>
            <rFont val="돋움"/>
            <family val="3"/>
            <charset val="129"/>
          </rPr>
          <t>시간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연장할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있다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같은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단서</t>
        </r>
        <r>
          <rPr>
            <b/>
            <sz val="9"/>
            <color indexed="81"/>
            <rFont val="Tahoma"/>
            <family val="2"/>
          </rPr>
          <t xml:space="preserve">).
</t>
        </r>
        <r>
          <rPr>
            <b/>
            <sz val="9"/>
            <color indexed="81"/>
            <rFont val="돋움"/>
            <family val="3"/>
            <charset val="129"/>
          </rPr>
          <t>이상의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규정에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위반한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자는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처벌을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받는다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제</t>
        </r>
        <r>
          <rPr>
            <b/>
            <sz val="9"/>
            <color indexed="81"/>
            <rFont val="Tahoma"/>
            <family val="2"/>
          </rPr>
          <t>110</t>
        </r>
        <r>
          <rPr>
            <b/>
            <sz val="9"/>
            <color indexed="81"/>
            <rFont val="돋움"/>
            <family val="3"/>
            <charset val="129"/>
          </rPr>
          <t>조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제</t>
        </r>
        <r>
          <rPr>
            <b/>
            <sz val="9"/>
            <color indexed="81"/>
            <rFont val="Tahoma"/>
            <family val="2"/>
          </rPr>
          <t>1</t>
        </r>
        <r>
          <rPr>
            <b/>
            <sz val="9"/>
            <color indexed="81"/>
            <rFont val="돋움"/>
            <family val="3"/>
            <charset val="129"/>
          </rPr>
          <t>호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제</t>
        </r>
        <r>
          <rPr>
            <b/>
            <sz val="9"/>
            <color indexed="81"/>
            <rFont val="Tahoma"/>
            <family val="2"/>
          </rPr>
          <t>115</t>
        </r>
        <r>
          <rPr>
            <b/>
            <sz val="9"/>
            <color indexed="81"/>
            <rFont val="돋움"/>
            <family val="3"/>
            <charset val="129"/>
          </rPr>
          <t>조</t>
        </r>
        <r>
          <rPr>
            <b/>
            <sz val="9"/>
            <color indexed="81"/>
            <rFont val="Tahoma"/>
            <family val="2"/>
          </rPr>
          <t xml:space="preserve">. </t>
        </r>
        <r>
          <rPr>
            <b/>
            <sz val="9"/>
            <color indexed="81"/>
            <rFont val="돋움"/>
            <family val="3"/>
            <charset val="129"/>
          </rPr>
          <t>양벌규정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있음</t>
        </r>
        <r>
          <rPr>
            <b/>
            <sz val="9"/>
            <color indexed="81"/>
            <rFont val="Tahoma"/>
            <family val="2"/>
          </rPr>
          <t xml:space="preserve">).
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근로기준법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50</t>
        </r>
        <r>
          <rPr>
            <sz val="9"/>
            <color indexed="81"/>
            <rFont val="돋움"/>
            <family val="3"/>
            <charset val="129"/>
          </rPr>
          <t>조에는</t>
        </r>
        <r>
          <rPr>
            <sz val="9"/>
            <color indexed="81"/>
            <rFont val="Tahoma"/>
            <family val="2"/>
          </rPr>
          <t xml:space="preserve"> 
'1</t>
        </r>
        <r>
          <rPr>
            <sz val="9"/>
            <color indexed="81"/>
            <rFont val="돋움"/>
            <family val="3"/>
            <charset val="129"/>
          </rPr>
          <t>일</t>
        </r>
        <r>
          <rPr>
            <sz val="9"/>
            <color indexed="81"/>
            <rFont val="Tahoma"/>
            <family val="2"/>
          </rPr>
          <t xml:space="preserve"> 8</t>
        </r>
        <r>
          <rPr>
            <sz val="9"/>
            <color indexed="81"/>
            <rFont val="돋움"/>
            <family val="3"/>
            <charset val="129"/>
          </rPr>
          <t>시간</t>
        </r>
        <r>
          <rPr>
            <sz val="9"/>
            <color indexed="81"/>
            <rFont val="Tahoma"/>
            <family val="2"/>
          </rPr>
          <t>, 1</t>
        </r>
        <r>
          <rPr>
            <sz val="9"/>
            <color indexed="81"/>
            <rFont val="돋움"/>
            <family val="3"/>
            <charset val="129"/>
          </rPr>
          <t>주</t>
        </r>
        <r>
          <rPr>
            <sz val="9"/>
            <color indexed="81"/>
            <rFont val="Tahoma"/>
            <family val="2"/>
          </rPr>
          <t xml:space="preserve"> 40</t>
        </r>
        <r>
          <rPr>
            <sz val="9"/>
            <color indexed="81"/>
            <rFont val="돋움"/>
            <family val="3"/>
            <charset val="129"/>
          </rPr>
          <t>시간</t>
        </r>
        <r>
          <rPr>
            <sz val="9"/>
            <color indexed="81"/>
            <rFont val="Tahoma"/>
            <family val="2"/>
          </rPr>
          <t xml:space="preserve"> (</t>
        </r>
        <r>
          <rPr>
            <sz val="9"/>
            <color indexed="81"/>
            <rFont val="돋움"/>
            <family val="3"/>
            <charset val="129"/>
          </rPr>
          <t>휴게시간제외</t>
        </r>
        <r>
          <rPr>
            <sz val="9"/>
            <color indexed="81"/>
            <rFont val="Tahoma"/>
            <family val="2"/>
          </rPr>
          <t>)</t>
        </r>
        <r>
          <rPr>
            <sz val="9"/>
            <color indexed="81"/>
            <rFont val="돋움"/>
            <family val="3"/>
            <charset val="129"/>
          </rPr>
          <t>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근로시간을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없다</t>
        </r>
        <r>
          <rPr>
            <sz val="9"/>
            <color indexed="81"/>
            <rFont val="Tahoma"/>
            <family val="2"/>
          </rPr>
          <t xml:space="preserve">'
</t>
        </r>
        <r>
          <rPr>
            <sz val="9"/>
            <color indexed="81"/>
            <rFont val="돋움"/>
            <family val="3"/>
            <charset val="129"/>
          </rPr>
          <t>①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일</t>
        </r>
        <r>
          <rPr>
            <sz val="9"/>
            <color indexed="81"/>
            <rFont val="Tahoma"/>
            <family val="2"/>
          </rPr>
          <t xml:space="preserve"> 8</t>
        </r>
        <r>
          <rPr>
            <sz val="9"/>
            <color indexed="81"/>
            <rFont val="돋움"/>
            <family val="3"/>
            <charset val="129"/>
          </rPr>
          <t>시간을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넘었을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때</t>
        </r>
        <r>
          <rPr>
            <sz val="9"/>
            <color indexed="81"/>
            <rFont val="Tahoma"/>
            <family val="2"/>
          </rPr>
          <t xml:space="preserve"> 
</t>
        </r>
        <r>
          <rPr>
            <sz val="9"/>
            <color indexed="81"/>
            <rFont val="돋움"/>
            <family val="3"/>
            <charset val="129"/>
          </rPr>
          <t>시급이</t>
        </r>
        <r>
          <rPr>
            <sz val="9"/>
            <color indexed="81"/>
            <rFont val="Tahoma"/>
            <family val="2"/>
          </rPr>
          <t xml:space="preserve"> 6000</t>
        </r>
        <r>
          <rPr>
            <sz val="9"/>
            <color indexed="81"/>
            <rFont val="돋움"/>
            <family val="3"/>
            <charset val="129"/>
          </rPr>
          <t>원인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근로자가</t>
        </r>
        <r>
          <rPr>
            <sz val="9"/>
            <color indexed="81"/>
            <rFont val="Tahoma"/>
            <family val="2"/>
          </rPr>
          <t xml:space="preserve"> 09:00~20:00 </t>
        </r>
        <r>
          <rPr>
            <sz val="9"/>
            <color indexed="81"/>
            <rFont val="돋움"/>
            <family val="3"/>
            <charset val="129"/>
          </rPr>
          <t>까지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근로를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점심시간은</t>
        </r>
        <r>
          <rPr>
            <sz val="9"/>
            <color indexed="81"/>
            <rFont val="Tahoma"/>
            <family val="2"/>
          </rPr>
          <t xml:space="preserve"> 12:00~13:00 </t>
        </r>
        <r>
          <rPr>
            <sz val="9"/>
            <color indexed="81"/>
            <rFont val="돋움"/>
            <family val="3"/>
            <charset val="129"/>
          </rPr>
          <t>라고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한다면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근로자의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근로시간은</t>
        </r>
        <r>
          <rPr>
            <sz val="9"/>
            <color indexed="81"/>
            <rFont val="Tahoma"/>
            <family val="2"/>
          </rPr>
          <t xml:space="preserve"> 10</t>
        </r>
        <r>
          <rPr>
            <sz val="9"/>
            <color indexed="81"/>
            <rFont val="돋움"/>
            <family val="3"/>
            <charset val="129"/>
          </rPr>
          <t>시간이고</t>
        </r>
        <r>
          <rPr>
            <sz val="9"/>
            <color indexed="81"/>
            <rFont val="Tahoma"/>
            <family val="2"/>
          </rPr>
          <t xml:space="preserve"> 2</t>
        </r>
        <r>
          <rPr>
            <sz val="9"/>
            <color indexed="81"/>
            <rFont val="돋움"/>
            <family val="3"/>
            <charset val="129"/>
          </rPr>
          <t>시간의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연장근로가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발생합니다</t>
        </r>
        <r>
          <rPr>
            <sz val="9"/>
            <color indexed="81"/>
            <rFont val="Tahoma"/>
            <family val="2"/>
          </rPr>
          <t xml:space="preserve">. 
</t>
        </r>
        <r>
          <rPr>
            <sz val="9"/>
            <color indexed="81"/>
            <rFont val="돋움"/>
            <family val="3"/>
            <charset val="129"/>
          </rPr>
          <t>따라서</t>
        </r>
        <r>
          <rPr>
            <sz val="9"/>
            <color indexed="81"/>
            <rFont val="Tahoma"/>
            <family val="2"/>
          </rPr>
          <t>, '(</t>
        </r>
        <r>
          <rPr>
            <sz val="9"/>
            <color indexed="81"/>
            <rFont val="돋움"/>
            <family val="3"/>
            <charset val="129"/>
          </rPr>
          <t>기본근로</t>
        </r>
        <r>
          <rPr>
            <sz val="9"/>
            <color indexed="81"/>
            <rFont val="Tahoma"/>
            <family val="2"/>
          </rPr>
          <t>)8</t>
        </r>
        <r>
          <rPr>
            <sz val="9"/>
            <color indexed="81"/>
            <rFont val="돋움"/>
            <family val="3"/>
            <charset val="129"/>
          </rPr>
          <t>시간</t>
        </r>
        <r>
          <rPr>
            <sz val="9"/>
            <color indexed="81"/>
            <rFont val="Tahoma"/>
            <family val="2"/>
          </rPr>
          <t>X6000</t>
        </r>
        <r>
          <rPr>
            <sz val="9"/>
            <color indexed="81"/>
            <rFont val="돋움"/>
            <family val="3"/>
            <charset val="129"/>
          </rPr>
          <t>원</t>
        </r>
        <r>
          <rPr>
            <sz val="9"/>
            <color indexed="81"/>
            <rFont val="Tahoma"/>
            <family val="2"/>
          </rPr>
          <t xml:space="preserve"> + (</t>
        </r>
        <r>
          <rPr>
            <sz val="9"/>
            <color indexed="81"/>
            <rFont val="돋움"/>
            <family val="3"/>
            <charset val="129"/>
          </rPr>
          <t>연장근로</t>
        </r>
        <r>
          <rPr>
            <sz val="9"/>
            <color indexed="81"/>
            <rFont val="Tahoma"/>
            <family val="2"/>
          </rPr>
          <t>)2</t>
        </r>
        <r>
          <rPr>
            <sz val="9"/>
            <color indexed="81"/>
            <rFont val="돋움"/>
            <family val="3"/>
            <charset val="129"/>
          </rPr>
          <t>시간</t>
        </r>
        <r>
          <rPr>
            <sz val="9"/>
            <color indexed="81"/>
            <rFont val="Tahoma"/>
            <family val="2"/>
          </rPr>
          <t>X6000</t>
        </r>
        <r>
          <rPr>
            <sz val="9"/>
            <color indexed="81"/>
            <rFont val="돋움"/>
            <family val="3"/>
            <charset val="129"/>
          </rPr>
          <t>원</t>
        </r>
        <r>
          <rPr>
            <sz val="9"/>
            <color indexed="81"/>
            <rFont val="Tahoma"/>
            <family val="2"/>
          </rPr>
          <t>X1.5</t>
        </r>
        <r>
          <rPr>
            <sz val="9"/>
            <color indexed="81"/>
            <rFont val="돋움"/>
            <family val="3"/>
            <charset val="129"/>
          </rPr>
          <t>배</t>
        </r>
        <r>
          <rPr>
            <sz val="9"/>
            <color indexed="81"/>
            <rFont val="Tahoma"/>
            <family val="2"/>
          </rPr>
          <t>'</t>
        </r>
        <r>
          <rPr>
            <sz val="9"/>
            <color indexed="81"/>
            <rFont val="돋움"/>
            <family val="3"/>
            <charset val="129"/>
          </rPr>
          <t>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받게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됩니다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②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일</t>
        </r>
        <r>
          <rPr>
            <sz val="9"/>
            <color indexed="81"/>
            <rFont val="Tahoma"/>
            <family val="2"/>
          </rPr>
          <t xml:space="preserve"> 8</t>
        </r>
        <r>
          <rPr>
            <sz val="9"/>
            <color indexed="81"/>
            <rFont val="돋움"/>
            <family val="3"/>
            <charset val="129"/>
          </rPr>
          <t>시간은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되지만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주</t>
        </r>
        <r>
          <rPr>
            <sz val="9"/>
            <color indexed="81"/>
            <rFont val="Tahoma"/>
            <family val="2"/>
          </rPr>
          <t xml:space="preserve"> 40</t>
        </r>
        <r>
          <rPr>
            <sz val="9"/>
            <color indexed="81"/>
            <rFont val="돋움"/>
            <family val="3"/>
            <charset val="129"/>
          </rPr>
          <t>시간을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넘었을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때
시급이</t>
        </r>
        <r>
          <rPr>
            <sz val="9"/>
            <color indexed="81"/>
            <rFont val="Tahoma"/>
            <family val="2"/>
          </rPr>
          <t xml:space="preserve"> 6000</t>
        </r>
        <r>
          <rPr>
            <sz val="9"/>
            <color indexed="81"/>
            <rFont val="돋움"/>
            <family val="3"/>
            <charset val="129"/>
          </rPr>
          <t>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근로자가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하루에</t>
        </r>
        <r>
          <rPr>
            <sz val="9"/>
            <color indexed="81"/>
            <rFont val="Tahoma"/>
            <family val="2"/>
          </rPr>
          <t xml:space="preserve"> 09:00~18:00 </t>
        </r>
        <r>
          <rPr>
            <sz val="9"/>
            <color indexed="81"/>
            <rFont val="돋움"/>
            <family val="3"/>
            <charset val="129"/>
          </rPr>
          <t>까지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근무하고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점심시간은</t>
        </r>
        <r>
          <rPr>
            <sz val="9"/>
            <color indexed="81"/>
            <rFont val="Tahoma"/>
            <family val="2"/>
          </rPr>
          <t xml:space="preserve"> 12:00~13:00</t>
        </r>
        <r>
          <rPr>
            <sz val="9"/>
            <color indexed="81"/>
            <rFont val="돋움"/>
            <family val="3"/>
            <charset val="129"/>
          </rPr>
          <t>까지인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근로자가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월</t>
        </r>
        <r>
          <rPr>
            <sz val="9"/>
            <color indexed="81"/>
            <rFont val="Tahoma"/>
            <family val="2"/>
          </rPr>
          <t>~</t>
        </r>
        <r>
          <rPr>
            <sz val="9"/>
            <color indexed="81"/>
            <rFont val="돋움"/>
            <family val="3"/>
            <charset val="129"/>
          </rPr>
          <t>토요일까지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일을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되면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하루에</t>
        </r>
        <r>
          <rPr>
            <sz val="9"/>
            <color indexed="81"/>
            <rFont val="Tahoma"/>
            <family val="2"/>
          </rPr>
          <t xml:space="preserve"> 8</t>
        </r>
        <r>
          <rPr>
            <sz val="9"/>
            <color indexed="81"/>
            <rFont val="돋움"/>
            <family val="3"/>
            <charset val="129"/>
          </rPr>
          <t>시간을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근무하므로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월</t>
        </r>
        <r>
          <rPr>
            <sz val="9"/>
            <color indexed="81"/>
            <rFont val="Tahoma"/>
            <family val="2"/>
          </rPr>
          <t>~</t>
        </r>
        <r>
          <rPr>
            <sz val="9"/>
            <color indexed="81"/>
            <rFont val="돋움"/>
            <family val="3"/>
            <charset val="129"/>
          </rPr>
          <t>금요일까지는</t>
        </r>
        <r>
          <rPr>
            <sz val="9"/>
            <color indexed="81"/>
            <rFont val="Tahoma"/>
            <family val="2"/>
          </rPr>
          <t xml:space="preserve"> 40</t>
        </r>
        <r>
          <rPr>
            <sz val="9"/>
            <color indexed="81"/>
            <rFont val="돋움"/>
            <family val="3"/>
            <charset val="129"/>
          </rPr>
          <t>시간을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근무하게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된다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그리고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토요일에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추가적으로</t>
        </r>
        <r>
          <rPr>
            <sz val="9"/>
            <color indexed="81"/>
            <rFont val="Tahoma"/>
            <family val="2"/>
          </rPr>
          <t xml:space="preserve"> 8</t>
        </r>
        <r>
          <rPr>
            <sz val="9"/>
            <color indexed="81"/>
            <rFont val="돋움"/>
            <family val="3"/>
            <charset val="129"/>
          </rPr>
          <t>시간을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근무하므로</t>
        </r>
        <r>
          <rPr>
            <sz val="9"/>
            <color indexed="81"/>
            <rFont val="Tahoma"/>
            <family val="2"/>
          </rPr>
          <t xml:space="preserve"> 1</t>
        </r>
        <r>
          <rPr>
            <sz val="9"/>
            <color indexed="81"/>
            <rFont val="돋움"/>
            <family val="3"/>
            <charset val="129"/>
          </rPr>
          <t>주에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총</t>
        </r>
        <r>
          <rPr>
            <sz val="9"/>
            <color indexed="81"/>
            <rFont val="Tahoma"/>
            <family val="2"/>
          </rPr>
          <t xml:space="preserve"> 48</t>
        </r>
        <r>
          <rPr>
            <sz val="9"/>
            <color indexed="81"/>
            <rFont val="돋움"/>
            <family val="3"/>
            <charset val="129"/>
          </rPr>
          <t>시간을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근무하는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것이고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토요일의</t>
        </r>
        <r>
          <rPr>
            <sz val="9"/>
            <color indexed="81"/>
            <rFont val="Tahoma"/>
            <family val="2"/>
          </rPr>
          <t xml:space="preserve"> 8</t>
        </r>
        <r>
          <rPr>
            <sz val="9"/>
            <color indexed="81"/>
            <rFont val="돋움"/>
            <family val="3"/>
            <charset val="129"/>
          </rPr>
          <t>시간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전체는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연장근로에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포함된다</t>
        </r>
        <r>
          <rPr>
            <sz val="9"/>
            <color indexed="81"/>
            <rFont val="Tahoma"/>
            <family val="2"/>
          </rPr>
          <t xml:space="preserve">.
</t>
        </r>
        <r>
          <rPr>
            <sz val="9"/>
            <color indexed="81"/>
            <rFont val="돋움"/>
            <family val="3"/>
            <charset val="129"/>
          </rPr>
          <t>따라서</t>
        </r>
        <r>
          <rPr>
            <sz val="9"/>
            <color indexed="81"/>
            <rFont val="Tahoma"/>
            <family val="2"/>
          </rPr>
          <t>, '(</t>
        </r>
        <r>
          <rPr>
            <sz val="9"/>
            <color indexed="81"/>
            <rFont val="돋움"/>
            <family val="3"/>
            <charset val="129"/>
          </rPr>
          <t>토요일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연장근로</t>
        </r>
        <r>
          <rPr>
            <sz val="9"/>
            <color indexed="81"/>
            <rFont val="Tahoma"/>
            <family val="2"/>
          </rPr>
          <t>)8</t>
        </r>
        <r>
          <rPr>
            <sz val="9"/>
            <color indexed="81"/>
            <rFont val="돋움"/>
            <family val="3"/>
            <charset val="129"/>
          </rPr>
          <t>시간</t>
        </r>
        <r>
          <rPr>
            <sz val="9"/>
            <color indexed="81"/>
            <rFont val="Tahoma"/>
            <family val="2"/>
          </rPr>
          <t>X6000</t>
        </r>
        <r>
          <rPr>
            <sz val="9"/>
            <color indexed="81"/>
            <rFont val="돋움"/>
            <family val="3"/>
            <charset val="129"/>
          </rPr>
          <t>원</t>
        </r>
        <r>
          <rPr>
            <sz val="9"/>
            <color indexed="81"/>
            <rFont val="Tahoma"/>
            <family val="2"/>
          </rPr>
          <t>X1.5</t>
        </r>
        <r>
          <rPr>
            <sz val="9"/>
            <color indexed="81"/>
            <rFont val="돋움"/>
            <family val="3"/>
            <charset val="129"/>
          </rPr>
          <t>배</t>
        </r>
        <r>
          <rPr>
            <sz val="9"/>
            <color indexed="81"/>
            <rFont val="Tahoma"/>
            <family val="2"/>
          </rPr>
          <t>'</t>
        </r>
        <r>
          <rPr>
            <sz val="9"/>
            <color indexed="81"/>
            <rFont val="돋움"/>
            <family val="3"/>
            <charset val="129"/>
          </rPr>
          <t>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추가지급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되어야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한다</t>
        </r>
        <r>
          <rPr>
            <sz val="9"/>
            <color indexed="81"/>
            <rFont val="Tahoma"/>
            <family val="2"/>
          </rPr>
          <t>.</t>
        </r>
      </text>
    </comment>
    <comment ref="E33" authorId="0" shapeId="0">
      <text>
        <r>
          <rPr>
            <b/>
            <sz val="9"/>
            <color indexed="81"/>
            <rFont val="돋움"/>
            <family val="3"/>
            <charset val="129"/>
          </rPr>
          <t>오정환</t>
        </r>
        <r>
          <rPr>
            <b/>
            <sz val="9"/>
            <color indexed="81"/>
            <rFont val="Tahoma"/>
            <family val="2"/>
          </rPr>
          <t xml:space="preserve">:
</t>
        </r>
        <r>
          <rPr>
            <b/>
            <sz val="9"/>
            <color indexed="81"/>
            <rFont val="돋움"/>
            <family val="3"/>
            <charset val="129"/>
          </rPr>
          <t>국가를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당사자로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하는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계약에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관한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법률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시행규칙</t>
        </r>
        <r>
          <rPr>
            <b/>
            <sz val="9"/>
            <color indexed="81"/>
            <rFont val="Tahoma"/>
            <family val="2"/>
          </rPr>
          <t xml:space="preserve"> ( </t>
        </r>
        <r>
          <rPr>
            <b/>
            <sz val="9"/>
            <color indexed="81"/>
            <rFont val="돋움"/>
            <family val="3"/>
            <charset val="129"/>
          </rPr>
          <t>약칭</t>
        </r>
        <r>
          <rPr>
            <b/>
            <sz val="9"/>
            <color indexed="81"/>
            <rFont val="Tahoma"/>
            <family val="2"/>
          </rPr>
          <t xml:space="preserve">: </t>
        </r>
        <r>
          <rPr>
            <b/>
            <sz val="9"/>
            <color indexed="81"/>
            <rFont val="돋움"/>
            <family val="3"/>
            <charset val="129"/>
          </rPr>
          <t>국가계약법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시행규칙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마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일반관리비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이윤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등
</t>
        </r>
        <r>
          <rPr>
            <sz val="9"/>
            <color indexed="81"/>
            <rFont val="Tahoma"/>
            <family val="2"/>
          </rPr>
          <t xml:space="preserve">(1) </t>
        </r>
        <r>
          <rPr>
            <sz val="9"/>
            <color indexed="81"/>
            <rFont val="돋움"/>
            <family val="3"/>
            <charset val="129"/>
          </rPr>
          <t>계약금액의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증감액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일반관리비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이윤율은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산출
내역서상의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일반관리비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이윤율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등에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의하되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국가계약법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시행규칙
제</t>
        </r>
        <r>
          <rPr>
            <sz val="9"/>
            <color indexed="81"/>
            <rFont val="Tahoma"/>
            <family val="2"/>
          </rPr>
          <t>8</t>
        </r>
        <r>
          <rPr>
            <sz val="9"/>
            <color indexed="81"/>
            <rFont val="돋움"/>
            <family val="3"/>
            <charset val="129"/>
          </rPr>
          <t>조에서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정한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율을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없다</t>
        </r>
        <r>
          <rPr>
            <sz val="9"/>
            <color indexed="81"/>
            <rFont val="Tahoma"/>
            <family val="2"/>
          </rPr>
          <t xml:space="preserve">.
(2) </t>
        </r>
        <r>
          <rPr>
            <sz val="9"/>
            <color indexed="81"/>
            <rFont val="돋움"/>
            <family val="3"/>
            <charset val="129"/>
          </rPr>
          <t>재료비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증가에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따른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제경비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증액분은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당초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계약서상의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산정방식에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의거
산정하여야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것임</t>
        </r>
      </text>
    </comment>
  </commentList>
</comments>
</file>

<file path=xl/comments3.xml><?xml version="1.0" encoding="utf-8"?>
<comments xmlns="http://schemas.openxmlformats.org/spreadsheetml/2006/main">
  <authors>
    <author>오정환</author>
  </authors>
  <commentList>
    <comment ref="O30" authorId="0" shapeId="0">
      <text>
        <r>
          <rPr>
            <b/>
            <sz val="9"/>
            <color indexed="81"/>
            <rFont val="돋움"/>
            <family val="3"/>
            <charset val="129"/>
          </rPr>
          <t>오정환</t>
        </r>
        <r>
          <rPr>
            <b/>
            <sz val="9"/>
            <color indexed="81"/>
            <rFont val="Tahoma"/>
            <family val="2"/>
          </rPr>
          <t>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제</t>
        </r>
        <r>
          <rPr>
            <sz val="9"/>
            <color indexed="81"/>
            <rFont val="Tahoma"/>
            <family val="2"/>
          </rPr>
          <t>8</t>
        </r>
        <r>
          <rPr>
            <sz val="9"/>
            <color indexed="81"/>
            <rFont val="돋움"/>
            <family val="3"/>
            <charset val="129"/>
          </rPr>
          <t>조</t>
        </r>
        <r>
          <rPr>
            <sz val="9"/>
            <color indexed="81"/>
            <rFont val="Tahoma"/>
            <family val="2"/>
          </rPr>
          <t>(</t>
        </r>
        <r>
          <rPr>
            <sz val="9"/>
            <color indexed="81"/>
            <rFont val="돋움"/>
            <family val="3"/>
            <charset val="129"/>
          </rPr>
          <t>원가계산에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의한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예정가격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결정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시의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일반관리비율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이윤율</t>
        </r>
        <r>
          <rPr>
            <sz val="9"/>
            <color indexed="81"/>
            <rFont val="Tahoma"/>
            <family val="2"/>
          </rPr>
          <t xml:space="preserve">) </t>
        </r>
        <r>
          <rPr>
            <sz val="9"/>
            <color indexed="81"/>
            <rFont val="돋움"/>
            <family val="3"/>
            <charset val="129"/>
          </rPr>
          <t>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원가계산에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의한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가격을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예정가격을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결정할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일반관리비의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비율은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어느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하나의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율을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초과하지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못한다</t>
        </r>
        <r>
          <rPr>
            <sz val="9"/>
            <color indexed="81"/>
            <rFont val="Tahoma"/>
            <family val="2"/>
          </rPr>
          <t>. &lt;</t>
        </r>
        <r>
          <rPr>
            <sz val="9"/>
            <color indexed="81"/>
            <rFont val="돋움"/>
            <family val="3"/>
            <charset val="129"/>
          </rPr>
          <t>개정</t>
        </r>
        <r>
          <rPr>
            <sz val="9"/>
            <color indexed="81"/>
            <rFont val="Tahoma"/>
            <family val="2"/>
          </rPr>
          <t xml:space="preserve"> 2016.1.15&gt;
13. </t>
        </r>
        <r>
          <rPr>
            <sz val="9"/>
            <color indexed="81"/>
            <rFont val="돋움"/>
            <family val="3"/>
            <charset val="129"/>
          </rPr>
          <t>시설물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관리ㆍ경비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및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청소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용역</t>
        </r>
        <r>
          <rPr>
            <sz val="9"/>
            <color indexed="81"/>
            <rFont val="Tahoma"/>
            <family val="2"/>
          </rPr>
          <t>: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 9
16. </t>
        </r>
        <r>
          <rPr>
            <sz val="9"/>
            <color indexed="81"/>
            <rFont val="돋움"/>
            <family val="3"/>
            <charset val="129"/>
          </rPr>
          <t>장비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유지ㆍ보수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용역</t>
        </r>
        <r>
          <rPr>
            <sz val="9"/>
            <color indexed="81"/>
            <rFont val="Tahoma"/>
            <family val="2"/>
          </rPr>
          <t>: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 10
17. </t>
        </r>
        <r>
          <rPr>
            <sz val="9"/>
            <color indexed="81"/>
            <rFont val="돋움"/>
            <family val="3"/>
            <charset val="129"/>
          </rPr>
          <t>기타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용역</t>
        </r>
        <r>
          <rPr>
            <sz val="9"/>
            <color indexed="81"/>
            <rFont val="Tahoma"/>
            <family val="2"/>
          </rPr>
          <t>: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 6
 </t>
        </r>
        <r>
          <rPr>
            <sz val="9"/>
            <color indexed="81"/>
            <rFont val="돋움"/>
            <family val="3"/>
            <charset val="129"/>
          </rPr>
          <t>②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원가계산에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의한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가격을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기준으로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예정가격을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결정할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이윤율은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어느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하나의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율을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초과하지는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못한다</t>
        </r>
        <r>
          <rPr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돋움"/>
            <family val="3"/>
            <charset val="129"/>
          </rPr>
          <t>다만</t>
        </r>
        <r>
          <rPr>
            <sz val="9"/>
            <color indexed="81"/>
            <rFont val="Tahoma"/>
            <family val="2"/>
          </rPr>
          <t xml:space="preserve">, </t>
        </r>
        <r>
          <rPr>
            <sz val="9"/>
            <color indexed="81"/>
            <rFont val="돋움"/>
            <family val="3"/>
            <charset val="129"/>
          </rPr>
          <t>지방자치단체의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장은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다음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호의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이윤율의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적용으로는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계약의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목적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달성이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곤란하다고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인정되는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특별한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사유가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경우에는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행정안전부장관과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협의하여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그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이윤율을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초과하여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정할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수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있다</t>
        </r>
        <r>
          <rPr>
            <sz val="9"/>
            <color indexed="81"/>
            <rFont val="Tahoma"/>
            <family val="2"/>
          </rPr>
          <t>. &lt;</t>
        </r>
        <r>
          <rPr>
            <sz val="9"/>
            <color indexed="81"/>
            <rFont val="돋움"/>
            <family val="3"/>
            <charset val="129"/>
          </rPr>
          <t>개정</t>
        </r>
        <r>
          <rPr>
            <sz val="9"/>
            <color indexed="81"/>
            <rFont val="Tahoma"/>
            <family val="2"/>
          </rPr>
          <t xml:space="preserve"> 2013.3.23, 2014.11.19, 2017.7.26&gt;
1. </t>
        </r>
        <r>
          <rPr>
            <sz val="9"/>
            <color indexed="81"/>
            <rFont val="돋움"/>
            <family val="3"/>
            <charset val="129"/>
          </rPr>
          <t>공사</t>
        </r>
        <r>
          <rPr>
            <sz val="9"/>
            <color indexed="81"/>
            <rFont val="Tahoma"/>
            <family val="2"/>
          </rPr>
          <t>: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 15
</t>
        </r>
        <r>
          <rPr>
            <sz val="9"/>
            <color indexed="81"/>
            <rFont val="Tahoma"/>
            <family val="2"/>
          </rPr>
          <t xml:space="preserve">4. </t>
        </r>
        <r>
          <rPr>
            <sz val="9"/>
            <color indexed="81"/>
            <rFont val="돋움"/>
            <family val="3"/>
            <charset val="129"/>
          </rPr>
          <t>용역</t>
        </r>
        <r>
          <rPr>
            <sz val="9"/>
            <color indexed="81"/>
            <rFont val="Tahoma"/>
            <family val="2"/>
          </rPr>
          <t>: 100</t>
        </r>
        <r>
          <rPr>
            <sz val="9"/>
            <color indexed="81"/>
            <rFont val="돋움"/>
            <family val="3"/>
            <charset val="129"/>
          </rPr>
          <t>분의</t>
        </r>
        <r>
          <rPr>
            <sz val="9"/>
            <color indexed="81"/>
            <rFont val="Tahoma"/>
            <family val="2"/>
          </rPr>
          <t xml:space="preserve"> 10</t>
        </r>
      </text>
    </comment>
  </commentList>
</comments>
</file>

<file path=xl/sharedStrings.xml><?xml version="1.0" encoding="utf-8"?>
<sst xmlns="http://schemas.openxmlformats.org/spreadsheetml/2006/main" count="1238" uniqueCount="453">
  <si>
    <t>관련근거</t>
  </si>
  <si>
    <t>구분</t>
    <phoneticPr fontId="1" type="noConversion"/>
  </si>
  <si>
    <t>산출식
(기본단가의 세부내역)</t>
    <phoneticPr fontId="1" type="noConversion"/>
  </si>
  <si>
    <t>계</t>
    <phoneticPr fontId="2" type="noConversion"/>
  </si>
  <si>
    <t>인
건
비
(월)</t>
    <phoneticPr fontId="2" type="noConversion"/>
  </si>
  <si>
    <t>제수당</t>
    <phoneticPr fontId="2" type="noConversion"/>
  </si>
  <si>
    <t>연장근로수당</t>
    <phoneticPr fontId="2" type="noConversion"/>
  </si>
  <si>
    <t>야간수당</t>
    <phoneticPr fontId="2" type="noConversion"/>
  </si>
  <si>
    <t>연차수당</t>
    <phoneticPr fontId="2" type="noConversion"/>
  </si>
  <si>
    <t>소계</t>
    <phoneticPr fontId="2" type="noConversion"/>
  </si>
  <si>
    <t>소계</t>
    <phoneticPr fontId="1" type="noConversion"/>
  </si>
  <si>
    <t>퇴직충당금</t>
    <phoneticPr fontId="2" type="noConversion"/>
  </si>
  <si>
    <t>경
비
(월)</t>
    <phoneticPr fontId="2" type="noConversion"/>
  </si>
  <si>
    <t>보험료</t>
    <phoneticPr fontId="2" type="noConversion"/>
  </si>
  <si>
    <t>산재보험료</t>
    <phoneticPr fontId="2" type="noConversion"/>
  </si>
  <si>
    <t>고용보험료</t>
    <phoneticPr fontId="2" type="noConversion"/>
  </si>
  <si>
    <t>국민연금</t>
    <phoneticPr fontId="2" type="noConversion"/>
  </si>
  <si>
    <t>(기본급+제수당+상여금)*0.045</t>
    <phoneticPr fontId="2" type="noConversion"/>
  </si>
  <si>
    <t>국민건강보험료</t>
    <phoneticPr fontId="2" type="noConversion"/>
  </si>
  <si>
    <t>노인장기요양보험</t>
    <phoneticPr fontId="2" type="noConversion"/>
  </si>
  <si>
    <t>피복비</t>
    <phoneticPr fontId="2" type="noConversion"/>
  </si>
  <si>
    <t>안전화</t>
    <phoneticPr fontId="2" type="noConversion"/>
  </si>
  <si>
    <t>월
간</t>
    <phoneticPr fontId="2" type="noConversion"/>
  </si>
  <si>
    <t>순용역비</t>
    <phoneticPr fontId="2" type="noConversion"/>
  </si>
  <si>
    <t>일반관리비</t>
    <phoneticPr fontId="2" type="noConversion"/>
  </si>
  <si>
    <t>용역비 계</t>
    <phoneticPr fontId="2" type="noConversion"/>
  </si>
  <si>
    <t>부가가치세</t>
    <phoneticPr fontId="2" type="noConversion"/>
  </si>
  <si>
    <t>복리
후생비</t>
    <phoneticPr fontId="2" type="noConversion"/>
  </si>
  <si>
    <t>계</t>
    <phoneticPr fontId="1" type="noConversion"/>
  </si>
  <si>
    <t>산출근거</t>
    <phoneticPr fontId="1" type="noConversion"/>
  </si>
  <si>
    <t>직업능력개발</t>
    <phoneticPr fontId="1" type="noConversion"/>
  </si>
  <si>
    <t>(기본급+제수당+상여금)*0.0025</t>
    <phoneticPr fontId="2" type="noConversion"/>
  </si>
  <si>
    <t>임금채권보장료</t>
    <phoneticPr fontId="1" type="noConversion"/>
  </si>
  <si>
    <t>(기본급+제수당+상여금)*0.0065</t>
    <phoneticPr fontId="2" type="noConversion"/>
  </si>
  <si>
    <t>휴일근로수당</t>
    <phoneticPr fontId="1" type="noConversion"/>
  </si>
  <si>
    <t>(기본급+제수당+상여금)/12개월</t>
    <phoneticPr fontId="2" type="noConversion"/>
  </si>
  <si>
    <t xml:space="preserve"> 소 계</t>
    <phoneticPr fontId="2" type="noConversion"/>
  </si>
  <si>
    <t>소 계</t>
    <phoneticPr fontId="2" type="noConversion"/>
  </si>
  <si>
    <t>임금체권보장법 제9조 제2항</t>
    <phoneticPr fontId="1" type="noConversion"/>
  </si>
  <si>
    <t>기본급/209*0.5*야간시간</t>
    <phoneticPr fontId="2" type="noConversion"/>
  </si>
  <si>
    <t>기본급/209*8*15/12개월</t>
    <phoneticPr fontId="2" type="noConversion"/>
  </si>
  <si>
    <t>월간 *12개월 중 12개월</t>
    <phoneticPr fontId="1" type="noConversion"/>
  </si>
  <si>
    <t>수   량</t>
    <phoneticPr fontId="1" type="noConversion"/>
  </si>
  <si>
    <t>구  분</t>
    <phoneticPr fontId="1" type="noConversion"/>
  </si>
  <si>
    <t>이        윤</t>
    <phoneticPr fontId="2" type="noConversion"/>
  </si>
  <si>
    <t>기본급=(시중노임단가 X 26일)</t>
    <phoneticPr fontId="2" type="noConversion"/>
  </si>
  <si>
    <t>기본급/209*1.5*연장시간</t>
    <phoneticPr fontId="2" type="noConversion"/>
  </si>
  <si>
    <t>50,400원/착*1착/(연)</t>
    <phoneticPr fontId="2" type="noConversion"/>
  </si>
  <si>
    <t>관리소장</t>
    <phoneticPr fontId="2" type="noConversion"/>
  </si>
  <si>
    <t xml:space="preserve">3. 일반관리비 </t>
    <phoneticPr fontId="5" type="noConversion"/>
  </si>
  <si>
    <t>4. 이윤</t>
    <phoneticPr fontId="5" type="noConversion"/>
  </si>
  <si>
    <t xml:space="preserve">5. 부가가치세 </t>
    <phoneticPr fontId="5" type="noConversion"/>
  </si>
  <si>
    <t>※ 근로기준법 제60조에 의거 적용</t>
    <phoneticPr fontId="5" type="noConversion"/>
  </si>
  <si>
    <t>※ 근로기준법 제56조에 의거 적용</t>
    <phoneticPr fontId="5" type="noConversion"/>
  </si>
  <si>
    <t>※ 근로기준법 제34조 및 근로자퇴직급여보장법에 의거 적용</t>
    <phoneticPr fontId="5" type="noConversion"/>
  </si>
  <si>
    <t>2) 국민연금 :  45/1000</t>
    <phoneticPr fontId="5" type="noConversion"/>
  </si>
  <si>
    <t>(2) 직업능력개발사업</t>
    <phoneticPr fontId="5" type="noConversion"/>
  </si>
  <si>
    <t>가. 150인 미만 기업 : 0.25%(사업주)적용</t>
    <phoneticPr fontId="5" type="noConversion"/>
  </si>
  <si>
    <t>나. 150인 이상 (우선지원대상) 기업 : 0.45%(사업주) 적용</t>
    <phoneticPr fontId="5" type="noConversion"/>
  </si>
  <si>
    <t>다. 150인 ~ 1000인 미만 기업 : 0.65%(사업주)적용</t>
    <phoneticPr fontId="5" type="noConversion"/>
  </si>
  <si>
    <t>라. 1000인 이상기업, 국가 및 지방자치단체가 직접행하는 사업 : 0.85%(사업주)적용</t>
    <phoneticPr fontId="5" type="noConversion"/>
  </si>
  <si>
    <t>※ 부가가치세법 제 14조에 의거하여 총도급비의 10/100 적용</t>
    <phoneticPr fontId="5" type="noConversion"/>
  </si>
  <si>
    <t xml:space="preserve">인   원 </t>
    <phoneticPr fontId="1" type="noConversion"/>
  </si>
  <si>
    <t>합    계</t>
    <phoneticPr fontId="2" type="noConversion"/>
  </si>
  <si>
    <t>(월) 용역비</t>
    <phoneticPr fontId="2" type="noConversion"/>
  </si>
  <si>
    <t>연간 용역비</t>
    <phoneticPr fontId="2" type="noConversion"/>
  </si>
  <si>
    <t>소      장</t>
    <phoneticPr fontId="7" type="noConversion"/>
  </si>
  <si>
    <t>용역사 직원 인사관리 및 총괄</t>
    <phoneticPr fontId="7" type="noConversion"/>
  </si>
  <si>
    <t>아트센터3층,2층</t>
    <phoneticPr fontId="7" type="noConversion"/>
  </si>
  <si>
    <t>아트센터1층,지하1층</t>
    <phoneticPr fontId="7" type="noConversion"/>
  </si>
  <si>
    <t>전망대,메이린,라포,미술관 화장실순회</t>
    <phoneticPr fontId="7" type="noConversion"/>
  </si>
  <si>
    <t xml:space="preserve">직  책 </t>
    <phoneticPr fontId="7" type="noConversion"/>
  </si>
  <si>
    <t>수</t>
  </si>
  <si>
    <t>목</t>
  </si>
  <si>
    <t>금</t>
  </si>
  <si>
    <t>토</t>
  </si>
  <si>
    <t>일</t>
  </si>
  <si>
    <t>구분</t>
    <phoneticPr fontId="8" type="noConversion"/>
  </si>
  <si>
    <t>소장</t>
    <phoneticPr fontId="8" type="noConversion"/>
  </si>
  <si>
    <t>날짜</t>
    <phoneticPr fontId="8" type="noConversion"/>
  </si>
  <si>
    <t>요일</t>
    <phoneticPr fontId="8" type="noConversion"/>
  </si>
  <si>
    <t>월</t>
    <phoneticPr fontId="8" type="noConversion"/>
  </si>
  <si>
    <t>주</t>
    <phoneticPr fontId="8" type="noConversion"/>
  </si>
  <si>
    <t>휴무</t>
    <phoneticPr fontId="8" type="noConversion"/>
  </si>
  <si>
    <t>화</t>
    <phoneticPr fontId="8" type="noConversion"/>
  </si>
  <si>
    <t>* 주간 : 09:00 ~18:00</t>
    <phoneticPr fontId="8" type="noConversion"/>
  </si>
  <si>
    <t>주</t>
    <phoneticPr fontId="6" type="noConversion"/>
  </si>
  <si>
    <t>구  분</t>
    <phoneticPr fontId="8" type="noConversion"/>
  </si>
  <si>
    <t>투 입 인 원</t>
    <phoneticPr fontId="1" type="noConversion"/>
  </si>
  <si>
    <t>담당 업무</t>
    <phoneticPr fontId="6" type="noConversion"/>
  </si>
  <si>
    <t xml:space="preserve">북서울꿈의숲 아트센터 </t>
    <phoneticPr fontId="1" type="noConversion"/>
  </si>
  <si>
    <t>기사1</t>
    <phoneticPr fontId="8" type="noConversion"/>
  </si>
  <si>
    <t>기사2</t>
    <phoneticPr fontId="8" type="noConversion"/>
  </si>
  <si>
    <t>기사3</t>
    <phoneticPr fontId="8" type="noConversion"/>
  </si>
  <si>
    <t>항 목</t>
    <phoneticPr fontId="1" type="noConversion"/>
  </si>
  <si>
    <t>시설관리
용역비</t>
    <phoneticPr fontId="1" type="noConversion"/>
  </si>
  <si>
    <t xml:space="preserve">
일
반
운
영
경
비</t>
    <phoneticPr fontId="1" type="noConversion"/>
  </si>
  <si>
    <t>구      분</t>
    <phoneticPr fontId="1" type="noConversion"/>
  </si>
  <si>
    <t>1일</t>
    <phoneticPr fontId="1" type="noConversion"/>
  </si>
  <si>
    <t>2일</t>
    <phoneticPr fontId="1" type="noConversion"/>
  </si>
  <si>
    <t>3일</t>
  </si>
  <si>
    <t>4일</t>
  </si>
  <si>
    <t>5일</t>
  </si>
  <si>
    <t>월간 근무시간</t>
    <phoneticPr fontId="1" type="noConversion"/>
  </si>
  <si>
    <t>근무형태</t>
    <phoneticPr fontId="1" type="noConversion"/>
  </si>
  <si>
    <t>주간근무</t>
    <phoneticPr fontId="1" type="noConversion"/>
  </si>
  <si>
    <t>연장근무</t>
    <phoneticPr fontId="1" type="noConversion"/>
  </si>
  <si>
    <t>합계</t>
    <phoneticPr fontId="1" type="noConversion"/>
  </si>
  <si>
    <t xml:space="preserve"> </t>
    <phoneticPr fontId="1" type="noConversion"/>
  </si>
  <si>
    <t>6일</t>
  </si>
  <si>
    <t>7일</t>
    <phoneticPr fontId="1" type="noConversion"/>
  </si>
  <si>
    <t>월간 
근무시간</t>
    <phoneticPr fontId="1" type="noConversion"/>
  </si>
  <si>
    <t>주간</t>
    <phoneticPr fontId="1" type="noConversion"/>
  </si>
  <si>
    <t>휴무</t>
    <phoneticPr fontId="1" type="noConversion"/>
  </si>
  <si>
    <t>근무시간</t>
    <phoneticPr fontId="1" type="noConversion"/>
  </si>
  <si>
    <t>휴가구분</t>
    <phoneticPr fontId="1" type="noConversion"/>
  </si>
  <si>
    <t>무급휴가</t>
    <phoneticPr fontId="1" type="noConversion"/>
  </si>
  <si>
    <t>유급휴가</t>
    <phoneticPr fontId="1" type="noConversion"/>
  </si>
  <si>
    <t>- 주간근무일 : 근무시간 09:00~18:00, 휴게시간 12:00~13:00(1시간)</t>
    <phoneticPr fontId="1" type="noConversion"/>
  </si>
  <si>
    <r>
      <t>※  365일 / 7</t>
    </r>
    <r>
      <rPr>
        <sz val="11"/>
        <color theme="1"/>
        <rFont val="맑은 고딕"/>
        <family val="3"/>
        <charset val="129"/>
        <scheme val="minor"/>
      </rPr>
      <t>일 =</t>
    </r>
    <phoneticPr fontId="1" type="noConversion"/>
  </si>
  <si>
    <t>60,000원/착*2착(연)</t>
    <phoneticPr fontId="2" type="noConversion"/>
  </si>
  <si>
    <t xml:space="preserve">   포함하여 월26일 (209시간) 적용</t>
    <phoneticPr fontId="5" type="noConversion"/>
  </si>
  <si>
    <t>※ 평균조사임금(일급)은 1일 8시간, 주40시간 근로기준법 제55조에 의한 유급 휴가일을</t>
    <phoneticPr fontId="5" type="noConversion"/>
  </si>
  <si>
    <t>※ 지방자치단체를 당사자로하는 계약에 관한 법률 시행규칙 제6조 제1항 4 및 같은 법 제8조 제1항</t>
    <phoneticPr fontId="5" type="noConversion"/>
  </si>
  <si>
    <t>※ 지방자치단체를 당사자로하는 계약에 관한 법률 시행규칙 제8조 제2항 4. 용역: 100분의 10 율을</t>
    <phoneticPr fontId="5" type="noConversion"/>
  </si>
  <si>
    <t xml:space="preserve">   초과하지 못한다.</t>
    <phoneticPr fontId="5" type="noConversion"/>
  </si>
  <si>
    <t>(기본급+제수당+상여금)*0.0006</t>
    <phoneticPr fontId="1" type="noConversion"/>
  </si>
  <si>
    <t>산업재해보상보험법 제4조</t>
    <phoneticPr fontId="1" type="noConversion"/>
  </si>
  <si>
    <t>※ 국민연금법 제88조</t>
    <phoneticPr fontId="5" type="noConversion"/>
  </si>
  <si>
    <t xml:space="preserve">※ 국민건강보험법 제69조 및 같은 법 시행령 제44조 </t>
    <phoneticPr fontId="5" type="noConversion"/>
  </si>
  <si>
    <t>※ 노인장기요양보험법 제9조 및 같은 법 시행령 제4조</t>
    <phoneticPr fontId="5" type="noConversion"/>
  </si>
  <si>
    <t>노인장기요양보험법 제9조</t>
    <phoneticPr fontId="1" type="noConversion"/>
  </si>
  <si>
    <t xml:space="preserve">※ 고용보험 및 산업재해보상보험의 보험료징수 등에 관한 법률 시행령 제12조 </t>
    <phoneticPr fontId="5" type="noConversion"/>
  </si>
  <si>
    <t xml:space="preserve">고용보험 및 산업재해보상보험의 보험료징수 등에 관한 법률 시행령 제12조 </t>
    <phoneticPr fontId="1" type="noConversion"/>
  </si>
  <si>
    <t>국민연금법 제88조</t>
    <phoneticPr fontId="1" type="noConversion"/>
  </si>
  <si>
    <t>국민건강보험법 제69조</t>
    <phoneticPr fontId="1" type="noConversion"/>
  </si>
  <si>
    <t>휴무</t>
    <phoneticPr fontId="6" type="noConversion"/>
  </si>
  <si>
    <t>주</t>
    <phoneticPr fontId="18" type="noConversion"/>
  </si>
  <si>
    <t>주</t>
    <phoneticPr fontId="6" type="noConversion"/>
  </si>
  <si>
    <t>*휴게시간 : 12:00~13:00</t>
    <phoneticPr fontId="18" type="noConversion"/>
  </si>
  <si>
    <t>* 주간 : 09:00 ~ 18:00</t>
    <phoneticPr fontId="18" type="noConversion"/>
  </si>
  <si>
    <r>
      <t xml:space="preserve">- </t>
    </r>
    <r>
      <rPr>
        <sz val="11"/>
        <color theme="1"/>
        <rFont val="맑은 고딕"/>
        <family val="3"/>
        <charset val="129"/>
        <scheme val="minor"/>
      </rPr>
      <t>6일차</t>
    </r>
    <r>
      <rPr>
        <sz val="11"/>
        <color theme="1"/>
        <rFont val="맑은 고딕"/>
        <family val="3"/>
        <charset val="129"/>
        <scheme val="minor"/>
      </rPr>
      <t xml:space="preserve"> 무급휴가,</t>
    </r>
    <r>
      <rPr>
        <sz val="11"/>
        <color theme="1"/>
        <rFont val="맑은 고딕"/>
        <family val="3"/>
        <charset val="129"/>
        <scheme val="minor"/>
      </rPr>
      <t xml:space="preserve"> 7일차</t>
    </r>
    <r>
      <rPr>
        <sz val="11"/>
        <color theme="1"/>
        <rFont val="맑은 고딕"/>
        <family val="3"/>
        <charset val="129"/>
        <scheme val="minor"/>
      </rPr>
      <t xml:space="preserve"> 유급휴가</t>
    </r>
    <phoneticPr fontId="1" type="noConversion"/>
  </si>
  <si>
    <t>주</t>
    <phoneticPr fontId="8" type="noConversion"/>
  </si>
  <si>
    <t>근무인원</t>
    <phoneticPr fontId="8" type="noConversion"/>
  </si>
  <si>
    <t>근무인원</t>
    <phoneticPr fontId="18" type="noConversion"/>
  </si>
  <si>
    <t>구 분</t>
    <phoneticPr fontId="8" type="noConversion"/>
  </si>
  <si>
    <t>휴무</t>
    <phoneticPr fontId="18" type="noConversion"/>
  </si>
  <si>
    <t>기계 및 전기 및 영선업무(당직)</t>
    <phoneticPr fontId="7" type="noConversion"/>
  </si>
  <si>
    <t xml:space="preserve">시설용역 산출근거 </t>
    <phoneticPr fontId="5" type="noConversion"/>
  </si>
  <si>
    <t>* 야간 : 18:00 ~ 익일 09:00</t>
    <phoneticPr fontId="8" type="noConversion"/>
  </si>
  <si>
    <t>3일</t>
    <phoneticPr fontId="1" type="noConversion"/>
  </si>
  <si>
    <t>4일</t>
    <phoneticPr fontId="1" type="noConversion"/>
  </si>
  <si>
    <t>※  365일 / 4일 =</t>
    <phoneticPr fontId="1" type="noConversion"/>
  </si>
  <si>
    <t>※ (월간근무시간 = (4일간근무시간 X91.25주 ) /12개월)</t>
    <phoneticPr fontId="1" type="noConversion"/>
  </si>
  <si>
    <t>기사4</t>
    <phoneticPr fontId="6" type="noConversion"/>
  </si>
  <si>
    <t>당직자(시설)</t>
    <phoneticPr fontId="6" type="noConversion"/>
  </si>
  <si>
    <t>비</t>
    <phoneticPr fontId="6" type="noConversion"/>
  </si>
  <si>
    <t>비</t>
    <phoneticPr fontId="18" type="noConversion"/>
  </si>
  <si>
    <t>당직자(시설) 관리 근무기준</t>
    <phoneticPr fontId="8" type="noConversion"/>
  </si>
  <si>
    <t>주간</t>
    <phoneticPr fontId="18" type="noConversion"/>
  </si>
  <si>
    <t>산  출  내  역                                                                                                             (단위:원,명)</t>
    <phoneticPr fontId="1" type="noConversion"/>
  </si>
  <si>
    <t>주차관제,로비,순찰(당직)</t>
    <phoneticPr fontId="7" type="noConversion"/>
  </si>
  <si>
    <t>시설기사</t>
    <phoneticPr fontId="7" type="noConversion"/>
  </si>
  <si>
    <t>기계 및 전기 및 영선업무 총괄</t>
    <phoneticPr fontId="7" type="noConversion"/>
  </si>
  <si>
    <t>* 주간 : 09:00 ~ 18:00</t>
    <phoneticPr fontId="8" type="noConversion"/>
  </si>
  <si>
    <t xml:space="preserve"> 경비(주차업무포함 )관리 근무기준</t>
    <phoneticPr fontId="8" type="noConversion"/>
  </si>
  <si>
    <t>경비반장</t>
    <phoneticPr fontId="18" type="noConversion"/>
  </si>
  <si>
    <t>경비(주차업무 포함)</t>
    <phoneticPr fontId="8" type="noConversion"/>
  </si>
  <si>
    <t>경비 1</t>
    <phoneticPr fontId="8" type="noConversion"/>
  </si>
  <si>
    <t>경비 2</t>
  </si>
  <si>
    <t>경비 3</t>
  </si>
  <si>
    <t>경비 4</t>
  </si>
  <si>
    <t>경비 1</t>
    <phoneticPr fontId="18" type="noConversion"/>
  </si>
  <si>
    <t>청소 남</t>
    <phoneticPr fontId="18" type="noConversion"/>
  </si>
  <si>
    <t>청소 여 1</t>
    <phoneticPr fontId="8" type="noConversion"/>
  </si>
  <si>
    <t>청소 여 2</t>
  </si>
  <si>
    <t>청소 여 3</t>
  </si>
  <si>
    <t>청소 여 4</t>
  </si>
  <si>
    <t>청소 관리 근무기준</t>
    <phoneticPr fontId="8" type="noConversion"/>
  </si>
  <si>
    <t>청소원 근무기준</t>
    <phoneticPr fontId="8" type="noConversion"/>
  </si>
  <si>
    <t xml:space="preserve">   1. 청소원 근무조건</t>
    <phoneticPr fontId="8" type="noConversion"/>
  </si>
  <si>
    <t xml:space="preserve">      - 기본근무 : 주 40시간</t>
    <phoneticPr fontId="8" type="noConversion"/>
  </si>
  <si>
    <t xml:space="preserve">      - 주중 5일 근무 원칙</t>
    <phoneticPr fontId="8" type="noConversion"/>
  </si>
  <si>
    <t xml:space="preserve">      - 일일근무형태 : 09:00 ~ 18:00  (8시간)</t>
    <phoneticPr fontId="8" type="noConversion"/>
  </si>
  <si>
    <t xml:space="preserve">      - 공연대기 근무</t>
    <phoneticPr fontId="8" type="noConversion"/>
  </si>
  <si>
    <t xml:space="preserve">         ex)  19:00(콘서트홀 공연) : 공연장 근무자는 (당일 10:00 출근 ~ 19:00 퇴근) </t>
    <phoneticPr fontId="8" type="noConversion"/>
  </si>
  <si>
    <t xml:space="preserve">  2. 근무시간 탄력운영</t>
    <phoneticPr fontId="6" type="noConversion"/>
  </si>
  <si>
    <t xml:space="preserve">      - 공연일정 및 시간에 따라 공연종료 1시간 전까지 청소원을 배치하여야 한다 </t>
    <phoneticPr fontId="6" type="noConversion"/>
  </si>
  <si>
    <t>공연시간이 오후 10시 종료 시</t>
    <phoneticPr fontId="6" type="noConversion"/>
  </si>
  <si>
    <t xml:space="preserve"> </t>
    <phoneticPr fontId="6" type="noConversion"/>
  </si>
  <si>
    <t>출근 : 12:00</t>
    <phoneticPr fontId="6" type="noConversion"/>
  </si>
  <si>
    <t>퇴근 : 21:00</t>
    <phoneticPr fontId="6" type="noConversion"/>
  </si>
  <si>
    <t>경비(주차)</t>
    <phoneticPr fontId="7" type="noConversion"/>
  </si>
  <si>
    <t>청 소 원A</t>
    <phoneticPr fontId="7" type="noConversion"/>
  </si>
  <si>
    <t>청 소 원B</t>
    <phoneticPr fontId="7" type="noConversion"/>
  </si>
  <si>
    <t>경비업무 총괄</t>
    <phoneticPr fontId="7" type="noConversion"/>
  </si>
  <si>
    <t>청소</t>
    <phoneticPr fontId="2" type="noConversion"/>
  </si>
  <si>
    <t>단순노무종사원</t>
  </si>
  <si>
    <t>제조부문 노임단가
(중소기업중앙회)</t>
  </si>
  <si>
    <t>2018년 시중노임</t>
  </si>
  <si>
    <t>작업반장</t>
  </si>
  <si>
    <t>전기 전자 및 기계 품질관리원</t>
  </si>
  <si>
    <t>당직</t>
    <phoneticPr fontId="1" type="noConversion"/>
  </si>
  <si>
    <t>야근</t>
    <phoneticPr fontId="1" type="noConversion"/>
  </si>
  <si>
    <r>
      <t>2</t>
    </r>
    <r>
      <rPr>
        <sz val="11"/>
        <color theme="1"/>
        <rFont val="맑은 고딕"/>
        <family val="3"/>
        <charset val="129"/>
        <scheme val="minor"/>
      </rPr>
      <t>2:00~익일06:00</t>
    </r>
    <phoneticPr fontId="1" type="noConversion"/>
  </si>
  <si>
    <t>월간 야근시간</t>
    <phoneticPr fontId="1" type="noConversion"/>
  </si>
  <si>
    <t>시설관리과장</t>
    <phoneticPr fontId="2" type="noConversion"/>
  </si>
  <si>
    <t>경비반장</t>
    <phoneticPr fontId="2" type="noConversion"/>
  </si>
  <si>
    <t>경비(당직)</t>
    <phoneticPr fontId="2" type="noConversion"/>
  </si>
  <si>
    <t>시설기사(당직)</t>
    <phoneticPr fontId="2" type="noConversion"/>
  </si>
  <si>
    <t>당</t>
    <phoneticPr fontId="6" type="noConversion"/>
  </si>
  <si>
    <t>* 당직 : 09:00 ~ 익일09:00</t>
    <phoneticPr fontId="18" type="noConversion"/>
  </si>
  <si>
    <t>기사5</t>
    <phoneticPr fontId="6" type="noConversion"/>
  </si>
  <si>
    <t>시설연장*야간근로시간</t>
    <phoneticPr fontId="1" type="noConversion"/>
  </si>
  <si>
    <t xml:space="preserve">2018.06 중소기업중앙회 제조부문 </t>
    <phoneticPr fontId="1" type="noConversion"/>
  </si>
  <si>
    <t>상여금</t>
    <phoneticPr fontId="2" type="noConversion"/>
  </si>
  <si>
    <t>1. 법적근거</t>
    <phoneticPr fontId="5" type="noConversion"/>
  </si>
  <si>
    <t>유급휴가수당 반영하여 26일 적용</t>
    <phoneticPr fontId="1" type="noConversion"/>
  </si>
  <si>
    <t>월27시간 적용</t>
    <phoneticPr fontId="1" type="noConversion"/>
  </si>
  <si>
    <t xml:space="preserve">2. 인건비 </t>
    <phoneticPr fontId="5" type="noConversion"/>
  </si>
  <si>
    <t xml:space="preserve">3. 경비 </t>
    <phoneticPr fontId="5" type="noConversion"/>
  </si>
  <si>
    <t>(기본급+제수당+상여금)*0.0175</t>
    <phoneticPr fontId="2" type="noConversion"/>
  </si>
  <si>
    <t>(기본급+제수당+상여금)*3.12%</t>
    <phoneticPr fontId="2" type="noConversion"/>
  </si>
  <si>
    <t>국민건강보험료*0.0738</t>
    <phoneticPr fontId="2" type="noConversion"/>
  </si>
  <si>
    <t>월27시간 적용(22시~06시, 3시간,9일,4시간 휴게)</t>
    <phoneticPr fontId="1" type="noConversion"/>
  </si>
  <si>
    <t>지방자치단체를 당사자로하는 계약에 관한 법률 시행규칙 제6조 10% 이내 적용</t>
    <phoneticPr fontId="1" type="noConversion"/>
  </si>
  <si>
    <t>지방자치단체를 당사자로하는 계약에 관한 법률 시행규칙 제6조 9% 이내 적용</t>
    <phoneticPr fontId="1" type="noConversion"/>
  </si>
  <si>
    <t>휴 무</t>
    <phoneticPr fontId="18" type="noConversion"/>
  </si>
  <si>
    <t>휴 무</t>
    <phoneticPr fontId="6" type="noConversion"/>
  </si>
  <si>
    <t>순번</t>
    <phoneticPr fontId="7" type="noConversion"/>
  </si>
  <si>
    <t>50% 적용</t>
    <phoneticPr fontId="1" type="noConversion"/>
  </si>
  <si>
    <t>기본급 * 50% / 12개월</t>
    <phoneticPr fontId="1" type="noConversion"/>
  </si>
  <si>
    <t>보일러조작원</t>
    <phoneticPr fontId="1" type="noConversion"/>
  </si>
  <si>
    <t>연자, 근로 수당은 적용해야 하는가?</t>
    <phoneticPr fontId="1" type="noConversion"/>
  </si>
  <si>
    <t>상여금은 적용하여야하는가?</t>
    <phoneticPr fontId="1" type="noConversion"/>
  </si>
  <si>
    <t>2019년 시설용역 원가 계산서(돈화문국악당대비)</t>
    <phoneticPr fontId="1" type="noConversion"/>
  </si>
  <si>
    <t>* 시설기사 : 주,당,비,비</t>
    <phoneticPr fontId="8" type="noConversion"/>
  </si>
  <si>
    <t>지방자치단체를 당사자로 하는 계약에 관한 법률 시행규칙</t>
  </si>
  <si>
    <t>[시행 2018. 7. 3.] [행정안전부령 제65호, 2018. 7. 3., 일부개정]</t>
  </si>
  <si>
    <t>(기본급+제수당+상여금)*0.06%</t>
    <phoneticPr fontId="1" type="noConversion"/>
  </si>
  <si>
    <t>(기본급+제수당+상여금)*4.5%</t>
    <phoneticPr fontId="2" type="noConversion"/>
  </si>
  <si>
    <t>예정가</t>
    <phoneticPr fontId="1" type="noConversion"/>
  </si>
  <si>
    <t>낙찰율 적용</t>
    <phoneticPr fontId="1" type="noConversion"/>
  </si>
  <si>
    <t>낙찰율</t>
    <phoneticPr fontId="1" type="noConversion"/>
  </si>
  <si>
    <t>입찰/예정</t>
    <phoneticPr fontId="1" type="noConversion"/>
  </si>
  <si>
    <t>입찰</t>
    <phoneticPr fontId="1" type="noConversion"/>
  </si>
  <si>
    <t>예정</t>
    <phoneticPr fontId="1" type="noConversion"/>
  </si>
  <si>
    <t>0.87745 비율은?</t>
    <phoneticPr fontId="1" type="noConversion"/>
  </si>
  <si>
    <t>2018년도 16%, 2019년 1.75% 변경 값0.15% 상승</t>
    <phoneticPr fontId="1" type="noConversion"/>
  </si>
  <si>
    <t>2018년도 3.06%, 2019년 30.12% 변경 값0.06% 상승</t>
    <phoneticPr fontId="1" type="noConversion"/>
  </si>
  <si>
    <t>2018년도 6.55%, 2019년 7.38%, 변경값 0.83% 상승</t>
    <phoneticPr fontId="1" type="noConversion"/>
  </si>
  <si>
    <t>천단위 이하 절삭</t>
    <phoneticPr fontId="1" type="noConversion"/>
  </si>
  <si>
    <t>2018년도에 적용되지 않아 2019년도에 적용함</t>
    <phoneticPr fontId="1" type="noConversion"/>
  </si>
  <si>
    <t>2019년</t>
    <phoneticPr fontId="1" type="noConversion"/>
  </si>
  <si>
    <t xml:space="preserve">       - 휴일 점심 식사시간 :  1/2교대 A조: (11:30 ~12:30)  B조: (12:30 ~13:30)</t>
    <phoneticPr fontId="8" type="noConversion"/>
  </si>
  <si>
    <r>
      <t xml:space="preserve">        </t>
    </r>
    <r>
      <rPr>
        <sz val="12"/>
        <color rgb="FF00B0F0"/>
        <rFont val="HyhwpEQ"/>
        <family val="1"/>
        <charset val="129"/>
      </rPr>
      <t>* 중식 : 12:00 ~ 13:00 (1시간) 근무시간에서 제외</t>
    </r>
    <phoneticPr fontId="8" type="noConversion"/>
  </si>
  <si>
    <t>원</t>
    <phoneticPr fontId="1" type="noConversion"/>
  </si>
  <si>
    <t>시중노임</t>
    <phoneticPr fontId="1" type="noConversion"/>
  </si>
  <si>
    <r>
      <t xml:space="preserve">구 </t>
    </r>
    <r>
      <rPr>
        <sz val="11"/>
        <color theme="1"/>
        <rFont val="맑은 고딕"/>
        <family val="3"/>
        <charset val="129"/>
        <scheme val="minor"/>
      </rPr>
      <t xml:space="preserve"> </t>
    </r>
    <r>
      <rPr>
        <sz val="11"/>
        <color indexed="8"/>
        <rFont val="맑은 고딕"/>
        <family val="3"/>
        <charset val="129"/>
      </rPr>
      <t>분</t>
    </r>
    <phoneticPr fontId="1" type="noConversion"/>
  </si>
  <si>
    <t>인원</t>
    <phoneticPr fontId="1" type="noConversion"/>
  </si>
  <si>
    <t>시급</t>
    <phoneticPr fontId="1" type="noConversion"/>
  </si>
  <si>
    <t>비  고</t>
    <phoneticPr fontId="1" type="noConversion"/>
  </si>
  <si>
    <t>직종별
일련번호</t>
    <phoneticPr fontId="1" type="noConversion"/>
  </si>
  <si>
    <t>관리소장</t>
    <phoneticPr fontId="1" type="noConversion"/>
  </si>
  <si>
    <t>작업반장</t>
    <phoneticPr fontId="1" type="noConversion"/>
  </si>
  <si>
    <t>시설반장</t>
    <phoneticPr fontId="1" type="noConversion"/>
  </si>
  <si>
    <t>시설기사</t>
    <phoneticPr fontId="1" type="noConversion"/>
  </si>
  <si>
    <t>청소원</t>
    <phoneticPr fontId="1" type="noConversion"/>
  </si>
  <si>
    <t>단순노무종사원</t>
    <phoneticPr fontId="1" type="noConversion"/>
  </si>
  <si>
    <t>경비원</t>
    <phoneticPr fontId="1" type="noConversion"/>
  </si>
  <si>
    <t>합  계</t>
    <phoneticPr fontId="1" type="noConversion"/>
  </si>
  <si>
    <t>작업반장</t>
    <phoneticPr fontId="18" type="noConversion"/>
  </si>
  <si>
    <t>야간근무</t>
    <phoneticPr fontId="1" type="noConversion"/>
  </si>
  <si>
    <t>- 주간근무 : 근무시간 09:00~18:00, 휴게시간 12:00~13:00(1시간)</t>
    <phoneticPr fontId="1" type="noConversion"/>
  </si>
  <si>
    <t>시설 및 경비 당직</t>
    <phoneticPr fontId="1" type="noConversion"/>
  </si>
  <si>
    <t>주</t>
    <phoneticPr fontId="1" type="noConversion"/>
  </si>
  <si>
    <t>※ (월간근무시간 = (7일간근무시간 X 52.15주 ) /12개월) = 209시간</t>
    <phoneticPr fontId="1" type="noConversion"/>
  </si>
  <si>
    <t>시간</t>
    <phoneticPr fontId="1" type="noConversion"/>
  </si>
  <si>
    <t>휴게시간</t>
    <phoneticPr fontId="1" type="noConversion"/>
  </si>
  <si>
    <t>근무시간</t>
    <phoneticPr fontId="1" type="noConversion"/>
  </si>
  <si>
    <t xml:space="preserve">점심식대 </t>
    <phoneticPr fontId="18" type="noConversion"/>
  </si>
  <si>
    <t>소장,반장</t>
    <phoneticPr fontId="18" type="noConversion"/>
  </si>
  <si>
    <t>식대</t>
    <phoneticPr fontId="18" type="noConversion"/>
  </si>
  <si>
    <t>교통비</t>
    <phoneticPr fontId="18" type="noConversion"/>
  </si>
  <si>
    <t>- 연장근무 : 근무시간 18:00~22:00, 06:00~09:00 휴게시간 근무시간내 4시간</t>
    <phoneticPr fontId="1" type="noConversion"/>
  </si>
  <si>
    <t>유급휴가수당 반영하여 26일 적용</t>
    <phoneticPr fontId="1" type="noConversion"/>
  </si>
  <si>
    <t>1) 기본금</t>
    <phoneticPr fontId="5" type="noConversion"/>
  </si>
  <si>
    <t>3) 야간 수당 : 통상임금 × 50% 적용</t>
    <phoneticPr fontId="5" type="noConversion"/>
  </si>
  <si>
    <t>4) 연차수당 : 통상임금 ÷ 209 × 8 × 일 ÷ 12월</t>
    <phoneticPr fontId="5" type="noConversion"/>
  </si>
  <si>
    <t>5) 휴일근무수당 : 통상임금 ÷ 209 × 8 × 일 ÷ 12월</t>
    <phoneticPr fontId="5" type="noConversion"/>
  </si>
  <si>
    <t>6) 퇴직충당금 : 수령액 × 근무년수</t>
    <phoneticPr fontId="5" type="noConversion"/>
  </si>
  <si>
    <t xml:space="preserve">2) 연장근로수당 : 통상임금 ×1.5배 ×연장시간 </t>
    <phoneticPr fontId="5" type="noConversion"/>
  </si>
  <si>
    <t>시설반장</t>
    <phoneticPr fontId="2" type="noConversion"/>
  </si>
  <si>
    <t>연장근무</t>
    <phoneticPr fontId="1" type="noConversion"/>
  </si>
  <si>
    <t>야간근무</t>
    <phoneticPr fontId="1" type="noConversion"/>
  </si>
  <si>
    <t>근무별시간</t>
    <phoneticPr fontId="1" type="noConversion"/>
  </si>
  <si>
    <t xml:space="preserve">- 야간근무 : 근무시간 22:00~익일06:00, 휴게시간 근무시간내에서 5시간 </t>
    <phoneticPr fontId="1" type="noConversion"/>
  </si>
  <si>
    <t>시설반장</t>
    <phoneticPr fontId="8" type="noConversion"/>
  </si>
  <si>
    <t>* 소장/시설반장 : 주중 5일제</t>
    <phoneticPr fontId="8" type="noConversion"/>
  </si>
  <si>
    <t>노임</t>
    <phoneticPr fontId="18" type="noConversion"/>
  </si>
  <si>
    <t>시급</t>
    <phoneticPr fontId="18" type="noConversion"/>
  </si>
  <si>
    <t>조정단가</t>
    <phoneticPr fontId="18" type="noConversion"/>
  </si>
  <si>
    <t>2019년 최저시급 8,350</t>
    <phoneticPr fontId="18" type="noConversion"/>
  </si>
  <si>
    <t>최저시급 미달</t>
    <phoneticPr fontId="18" type="noConversion"/>
  </si>
  <si>
    <t>통상임금=기본금+교통비+식대</t>
    <phoneticPr fontId="18" type="noConversion"/>
  </si>
  <si>
    <t>월23시간 적용</t>
    <phoneticPr fontId="1" type="noConversion"/>
  </si>
  <si>
    <t>월23시간 적용(소장 5시간, 반장 5시간)</t>
    <phoneticPr fontId="1" type="noConversion"/>
  </si>
  <si>
    <t>구분</t>
    <phoneticPr fontId="1" type="noConversion"/>
  </si>
  <si>
    <t>항 목</t>
    <phoneticPr fontId="1" type="noConversion"/>
  </si>
  <si>
    <t>산  출  내  역                                                                                                             (단위:원,명)</t>
    <phoneticPr fontId="1" type="noConversion"/>
  </si>
  <si>
    <t>산출식
(기본단가의 세부내역)</t>
    <phoneticPr fontId="1" type="noConversion"/>
  </si>
  <si>
    <t>수   량</t>
    <phoneticPr fontId="1" type="noConversion"/>
  </si>
  <si>
    <t>월간</t>
    <phoneticPr fontId="1" type="noConversion"/>
  </si>
  <si>
    <t>연간</t>
    <phoneticPr fontId="1" type="noConversion"/>
  </si>
  <si>
    <t xml:space="preserve">
일
반
운
영
경
비</t>
    <phoneticPr fontId="1" type="noConversion"/>
  </si>
  <si>
    <t>시설관리
용역비</t>
    <phoneticPr fontId="1" type="noConversion"/>
  </si>
  <si>
    <t>인
건
비
(월)</t>
    <phoneticPr fontId="2" type="noConversion"/>
  </si>
  <si>
    <t>구  분</t>
    <phoneticPr fontId="1" type="noConversion"/>
  </si>
  <si>
    <t>산출근거</t>
    <phoneticPr fontId="1" type="noConversion"/>
  </si>
  <si>
    <t>관리소장</t>
    <phoneticPr fontId="2" type="noConversion"/>
  </si>
  <si>
    <t>미화,경비반장</t>
    <phoneticPr fontId="2" type="noConversion"/>
  </si>
  <si>
    <t>예정가 구하는법?</t>
    <phoneticPr fontId="1" type="noConversion"/>
  </si>
  <si>
    <t>단순노무종사원(2019년 최저임금미달로수정)</t>
    <phoneticPr fontId="18" type="noConversion"/>
  </si>
  <si>
    <t>상여금은 400%초과할수 없다.</t>
    <phoneticPr fontId="1" type="noConversion"/>
  </si>
  <si>
    <t>상여금은 적용하여야하는가?</t>
    <phoneticPr fontId="1" type="noConversion"/>
  </si>
  <si>
    <t>경
비
(월)</t>
    <phoneticPr fontId="2" type="noConversion"/>
  </si>
  <si>
    <t>보험료</t>
    <phoneticPr fontId="2" type="noConversion"/>
  </si>
  <si>
    <t>산재보험료</t>
    <phoneticPr fontId="2" type="noConversion"/>
  </si>
  <si>
    <t>고용보험료</t>
    <phoneticPr fontId="2" type="noConversion"/>
  </si>
  <si>
    <t>직업능력개발</t>
    <phoneticPr fontId="1" type="noConversion"/>
  </si>
  <si>
    <t>(기본급+제수당+상여금)*0.25%</t>
    <phoneticPr fontId="2" type="noConversion"/>
  </si>
  <si>
    <t>임금채권보장료</t>
    <phoneticPr fontId="1" type="noConversion"/>
  </si>
  <si>
    <t>임금체권보장법 제9조 제2항</t>
    <phoneticPr fontId="1" type="noConversion"/>
  </si>
  <si>
    <t>국민연금</t>
    <phoneticPr fontId="2" type="noConversion"/>
  </si>
  <si>
    <t>국민건강보험료</t>
    <phoneticPr fontId="2" type="noConversion"/>
  </si>
  <si>
    <t>노인장기요양보험</t>
    <phoneticPr fontId="2" type="noConversion"/>
  </si>
  <si>
    <t>복리
후생비</t>
    <phoneticPr fontId="2" type="noConversion"/>
  </si>
  <si>
    <t>피복비</t>
    <phoneticPr fontId="2" type="noConversion"/>
  </si>
  <si>
    <t>안전화</t>
    <phoneticPr fontId="2" type="noConversion"/>
  </si>
  <si>
    <t>60,000원*1착/12개월</t>
    <phoneticPr fontId="2" type="noConversion"/>
  </si>
  <si>
    <t>투 입 인 원</t>
    <phoneticPr fontId="1" type="noConversion"/>
  </si>
  <si>
    <t>월
간</t>
    <phoneticPr fontId="2" type="noConversion"/>
  </si>
  <si>
    <t>순용역비</t>
    <phoneticPr fontId="2" type="noConversion"/>
  </si>
  <si>
    <t>일반관리비</t>
    <phoneticPr fontId="2" type="noConversion"/>
  </si>
  <si>
    <t>이        윤</t>
    <phoneticPr fontId="2" type="noConversion"/>
  </si>
  <si>
    <t>부가가치세</t>
    <phoneticPr fontId="2" type="noConversion"/>
  </si>
  <si>
    <t>월간 *12개월 중 12개월</t>
    <phoneticPr fontId="1" type="noConversion"/>
  </si>
  <si>
    <t>소계</t>
    <phoneticPr fontId="2" type="noConversion"/>
  </si>
  <si>
    <t>기본급=(시중노임단가 X 26일)</t>
    <phoneticPr fontId="2" type="noConversion"/>
  </si>
  <si>
    <t>상여금</t>
    <phoneticPr fontId="2" type="noConversion"/>
  </si>
  <si>
    <t>기본금*0%/12개월</t>
    <phoneticPr fontId="18" type="noConversion"/>
  </si>
  <si>
    <t>퇴직충당금</t>
    <phoneticPr fontId="2" type="noConversion"/>
  </si>
  <si>
    <t>(기본급+제수당+상여금)/12개월</t>
    <phoneticPr fontId="2" type="noConversion"/>
  </si>
  <si>
    <t>소 계(1인당)</t>
    <phoneticPr fontId="2" type="noConversion"/>
  </si>
  <si>
    <t>소 계(1인당×분야별 투입인원)</t>
    <phoneticPr fontId="2" type="noConversion"/>
  </si>
  <si>
    <t>제수당</t>
    <phoneticPr fontId="2" type="noConversion"/>
  </si>
  <si>
    <t>연장근로수당</t>
    <phoneticPr fontId="2" type="noConversion"/>
  </si>
  <si>
    <t>통상임금/209*1.5*연장시간</t>
    <phoneticPr fontId="2" type="noConversion"/>
  </si>
  <si>
    <t>야간수당</t>
    <phoneticPr fontId="2" type="noConversion"/>
  </si>
  <si>
    <t>통상임금/209*0.5*야간시간</t>
    <phoneticPr fontId="2" type="noConversion"/>
  </si>
  <si>
    <t>연차수당</t>
    <phoneticPr fontId="2" type="noConversion"/>
  </si>
  <si>
    <t>통상임금/209*8*15/12개월</t>
    <phoneticPr fontId="2" type="noConversion"/>
  </si>
  <si>
    <t>12개월 금액</t>
    <phoneticPr fontId="1" type="noConversion"/>
  </si>
  <si>
    <t>계</t>
    <phoneticPr fontId="1" type="noConversion"/>
  </si>
  <si>
    <t>용역비  계</t>
    <phoneticPr fontId="2" type="noConversion"/>
  </si>
  <si>
    <t>합계</t>
    <phoneticPr fontId="1" type="noConversion"/>
  </si>
  <si>
    <t>60,000원*2착/12개월</t>
    <phoneticPr fontId="2" type="noConversion"/>
  </si>
  <si>
    <t>전기기능사</t>
    <phoneticPr fontId="18" type="noConversion"/>
  </si>
  <si>
    <t>무대감독</t>
    <phoneticPr fontId="18" type="noConversion"/>
  </si>
  <si>
    <t>월 금액
(23명)</t>
    <phoneticPr fontId="1" type="noConversion"/>
  </si>
  <si>
    <t>무대</t>
    <phoneticPr fontId="18" type="noConversion"/>
  </si>
  <si>
    <t>무대실장</t>
    <phoneticPr fontId="18" type="noConversion"/>
  </si>
  <si>
    <t xml:space="preserve">고용보험 및 산업재해보상보험의 보험료징수 등에
관한 법률 시행령 제12조 </t>
    <phoneticPr fontId="1" type="noConversion"/>
  </si>
  <si>
    <t>(재)세종문화회관 꿈의숲아트센터팀</t>
    <phoneticPr fontId="1" type="noConversion"/>
  </si>
  <si>
    <t>합 계(23명)</t>
    <phoneticPr fontId="2" type="noConversion"/>
  </si>
  <si>
    <t xml:space="preserve"> 1. 무대관리 근무조건</t>
    <phoneticPr fontId="1" type="noConversion"/>
  </si>
  <si>
    <t>무대음향</t>
    <phoneticPr fontId="7" type="noConversion"/>
  </si>
  <si>
    <t>무대음향</t>
    <phoneticPr fontId="7" type="noConversion"/>
  </si>
  <si>
    <t>무대조명</t>
    <phoneticPr fontId="7" type="noConversion"/>
  </si>
  <si>
    <t>무대기계</t>
    <phoneticPr fontId="7" type="noConversion"/>
  </si>
  <si>
    <t>무대관리업무 총괄</t>
    <phoneticPr fontId="6" type="noConversion"/>
  </si>
  <si>
    <t>무대기계 총괄</t>
    <phoneticPr fontId="6" type="noConversion"/>
  </si>
  <si>
    <t>무대 조명</t>
    <phoneticPr fontId="6" type="noConversion"/>
  </si>
  <si>
    <t>무대 음향</t>
    <phoneticPr fontId="6" type="noConversion"/>
  </si>
  <si>
    <t>4일간 근무시간</t>
    <phoneticPr fontId="1" type="noConversion"/>
  </si>
  <si>
    <t>시설반장</t>
    <phoneticPr fontId="7" type="noConversion"/>
  </si>
  <si>
    <t>시설기사</t>
    <phoneticPr fontId="7" type="noConversion"/>
  </si>
  <si>
    <t>당직(시설,경비) 근무자 근무시간표</t>
    <phoneticPr fontId="1" type="noConversion"/>
  </si>
  <si>
    <t>일근직(시설,청소,경비) 근무시간표</t>
    <phoneticPr fontId="1" type="noConversion"/>
  </si>
  <si>
    <t>무대관리 근무기준</t>
    <phoneticPr fontId="1" type="noConversion"/>
  </si>
  <si>
    <t>소 계(1인당×분야별 투입인원)</t>
    <phoneticPr fontId="2" type="noConversion"/>
  </si>
  <si>
    <t>보일러설치정비원</t>
    <phoneticPr fontId="1" type="noConversion"/>
  </si>
  <si>
    <t>2021꿈의숲아트센터 시설용역 업무분장</t>
    <phoneticPr fontId="7" type="noConversion"/>
  </si>
  <si>
    <t>※ 산업재해보상보험법 제4조 및 고용노동부고시 제2019- 73호</t>
    <phoneticPr fontId="5" type="noConversion"/>
  </si>
  <si>
    <t>※ 임금채권보장법 제9조 및 고용부고시 2018-79호</t>
    <phoneticPr fontId="5" type="noConversion"/>
  </si>
  <si>
    <t xml:space="preserve">   13. 시설물 관리·경비 및 청소 용역: 100분의 9 율을 초과하지 못한다. 9/100</t>
    <phoneticPr fontId="5" type="noConversion"/>
  </si>
  <si>
    <t>일 8,000원×21.67일 또는 15.2일(실 출근일수)</t>
    <phoneticPr fontId="18" type="noConversion"/>
  </si>
  <si>
    <t>일 2,600원×21.67일 또는 15.2일(실 출근일수)</t>
    <phoneticPr fontId="18" type="noConversion"/>
  </si>
  <si>
    <t>일 식  대 8,000원 적용(평균 출근일수 적용)</t>
    <phoneticPr fontId="18" type="noConversion"/>
  </si>
  <si>
    <t>일 교통비 2,600원 적용(평균 출근일수 적용)</t>
    <phoneticPr fontId="18" type="noConversion"/>
  </si>
  <si>
    <t>보험료</t>
    <phoneticPr fontId="18" type="noConversion"/>
  </si>
  <si>
    <t>복리후생비</t>
    <phoneticPr fontId="18" type="noConversion"/>
  </si>
  <si>
    <t>2022년</t>
    <phoneticPr fontId="1" type="noConversion"/>
  </si>
  <si>
    <r>
      <t xml:space="preserve"> </t>
    </r>
    <r>
      <rPr>
        <sz val="11"/>
        <color rgb="FFFF0000"/>
        <rFont val="HancomEQN"/>
        <family val="3"/>
        <charset val="129"/>
      </rPr>
      <t>1) 지방자치단체 입찰 및 계약 집행기준[시행 2021.9.13] [행정안전부 예규 제176호, 2021.9.06, 일부개정]</t>
    </r>
    <r>
      <rPr>
        <sz val="11"/>
        <color theme="1"/>
        <rFont val="HancomEQN"/>
        <family val="3"/>
        <charset val="129"/>
      </rPr>
      <t xml:space="preserve">
 2) 제2장 예정가격 작성요령
 3) 노임단기 기준 - 제조업 노임단가 (중소기업중앙회 중소제조업 직종별 임금조사보고서)</t>
    </r>
    <phoneticPr fontId="5" type="noConversion"/>
  </si>
  <si>
    <t>3) 국민건강보험 : 34.3/1000</t>
    <phoneticPr fontId="5" type="noConversion"/>
  </si>
  <si>
    <t>4) 노인장기요양보험 : 건강보험료 11.52%</t>
    <phoneticPr fontId="5" type="noConversion"/>
  </si>
  <si>
    <t>(1) 실업급여 : 근로자 0.6%  ,  사업자 1.45%</t>
    <phoneticPr fontId="5" type="noConversion"/>
  </si>
  <si>
    <t>2022년 시설용역 원가 계산서</t>
    <phoneticPr fontId="1" type="noConversion"/>
  </si>
  <si>
    <t>6) 임금채권보장보험 : 0.06</t>
    <phoneticPr fontId="5" type="noConversion"/>
  </si>
  <si>
    <t>국민건강보험료*11.52%</t>
    <phoneticPr fontId="2" type="noConversion"/>
  </si>
  <si>
    <t>(기본급+제수당+상여금)*3.43%</t>
    <phoneticPr fontId="2" type="noConversion"/>
  </si>
  <si>
    <t>2021년 중소제조업 직종별 임금조사 보고서</t>
    <phoneticPr fontId="1" type="noConversion"/>
  </si>
  <si>
    <t>2021년 03월 중소기업중앙회에서 발표한 제조부분 직종별임금(일급)에 의거 적용</t>
    <phoneticPr fontId="5" type="noConversion"/>
  </si>
  <si>
    <t>0.9%(사업장 종류 0.8% + 출퇴근 0.1-%)</t>
    <phoneticPr fontId="18" type="noConversion"/>
  </si>
  <si>
    <t>(기본급+제수당+상여금)*0.80%</t>
    <phoneticPr fontId="2" type="noConversion"/>
  </si>
  <si>
    <t xml:space="preserve">  가. 기본적인 근무 형태 및 시간은 3가지 단계로 구분하며, 다음과 같다</t>
    <phoneticPr fontId="1" type="noConversion"/>
  </si>
  <si>
    <t xml:space="preserve">       - [ A ]근무 : 13:00 ~ 22:00 (공연 時)</t>
    <phoneticPr fontId="1" type="noConversion"/>
  </si>
  <si>
    <t xml:space="preserve">       - [ B ]근무 : 09:00 ~ 22:00 (셋업 時) </t>
    <phoneticPr fontId="1" type="noConversion"/>
  </si>
  <si>
    <t xml:space="preserve">       - [ C ]근무 : 09:00 ~ 18:00 (상시근무 時)</t>
    <phoneticPr fontId="1" type="noConversion"/>
  </si>
  <si>
    <t xml:space="preserve">  나. 공연이 없는 날은 상시근무 하며, 근무시간은 [ C ] 근무를 원칙으로 한다.</t>
    <phoneticPr fontId="1" type="noConversion"/>
  </si>
  <si>
    <t xml:space="preserve">  다. 오전 및 오후 공연이 있는 경우에는 [ C ] 근무를 원칙으로 한다.</t>
    <phoneticPr fontId="1" type="noConversion"/>
  </si>
  <si>
    <t xml:space="preserve">  라. 저녁 공연이 있는 경우에는 [ A ] 근무를 원칙으로 한다.</t>
    <phoneticPr fontId="1" type="noConversion"/>
  </si>
  <si>
    <t xml:space="preserve">  마. 공연 일정에 따라 용역 근무자의 근무시간은 조정 될 수 있으며, 조정된 시간은 꿈의</t>
    <phoneticPr fontId="1" type="noConversion"/>
  </si>
  <si>
    <t xml:space="preserve">     숲아트센터의 조정 및 승인 후 진행한다. (공연일은 평일, 토요일, 일요일, 공휴일 구분 없음)</t>
    <phoneticPr fontId="1" type="noConversion"/>
  </si>
  <si>
    <t>2021년 6월 중소제조업 직종별 임금조사보고서</t>
    <phoneticPr fontId="1" type="noConversion"/>
  </si>
  <si>
    <t>전기.전자및기계품질관리원</t>
    <phoneticPr fontId="18" type="noConversion"/>
  </si>
  <si>
    <t>전기.전자및기계품질시험원</t>
    <phoneticPr fontId="18" type="noConversion"/>
  </si>
  <si>
    <t>무대반장</t>
    <phoneticPr fontId="18" type="noConversion"/>
  </si>
  <si>
    <t>1) 산재보험료 : 보수총액의 0.9%</t>
    <phoneticPr fontId="5" type="noConversion"/>
  </si>
  <si>
    <t>5) 고용보험 : 0.8%</t>
    <phoneticPr fontId="5" type="noConversion"/>
  </si>
  <si>
    <t>(기본급+제수당+상여금)*0.9%</t>
    <phoneticPr fontId="2" type="noConversion"/>
  </si>
  <si>
    <t>무대실장</t>
    <phoneticPr fontId="7" type="noConversion"/>
  </si>
  <si>
    <t>심 사 결 과 요 약 서</t>
    <phoneticPr fontId="79" type="noConversion"/>
  </si>
  <si>
    <t>(단위 : 원)</t>
    <phoneticPr fontId="79" type="noConversion"/>
  </si>
  <si>
    <t xml:space="preserve">                                                        구  분</t>
    <phoneticPr fontId="3" type="noConversion"/>
  </si>
  <si>
    <t>요청금액</t>
    <phoneticPr fontId="84" type="noConversion"/>
  </si>
  <si>
    <t>심사금액</t>
    <phoneticPr fontId="84" type="noConversion"/>
  </si>
  <si>
    <t>조정액</t>
    <phoneticPr fontId="84" type="noConversion"/>
  </si>
  <si>
    <t>비고</t>
    <phoneticPr fontId="84" type="noConversion"/>
  </si>
  <si>
    <t>용
역
원
가</t>
    <phoneticPr fontId="79" type="noConversion"/>
  </si>
  <si>
    <t>노
무
비</t>
    <phoneticPr fontId="84" type="noConversion"/>
  </si>
  <si>
    <t>인건비, 제수당</t>
    <phoneticPr fontId="79" type="noConversion"/>
  </si>
  <si>
    <t>소계</t>
    <phoneticPr fontId="79" type="noConversion"/>
  </si>
  <si>
    <t>경
비</t>
    <phoneticPr fontId="79" type="noConversion"/>
  </si>
  <si>
    <t>보험료, 
복리후생비</t>
    <phoneticPr fontId="79" type="noConversion"/>
  </si>
  <si>
    <t>순원가</t>
    <phoneticPr fontId="79" type="noConversion"/>
  </si>
  <si>
    <t>일반관리비</t>
    <phoneticPr fontId="79" type="noConversion"/>
  </si>
  <si>
    <t>이윤</t>
    <phoneticPr fontId="79" type="noConversion"/>
  </si>
  <si>
    <t>총      원      가</t>
    <phoneticPr fontId="79" type="noConversion"/>
  </si>
  <si>
    <t>부가가치세</t>
    <phoneticPr fontId="79" type="noConversion"/>
  </si>
  <si>
    <t>총              계</t>
    <phoneticPr fontId="79" type="noConversion"/>
  </si>
  <si>
    <t>□ 용 역  명 : 2022년 꿈의숲아트센터 시설관리 용역</t>
    <phoneticPr fontId="79" type="noConversion"/>
  </si>
  <si>
    <t>□ 용역기간 :  2022. 1. 1. ~ 2022. 12.31.(12개월)</t>
    <phoneticPr fontId="7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</si>
</sst>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1" formatCode="_-* #,##0_-;\-* #,##0_-;_-* &quot;-&quot;_-;_-@_-"/>
    <numFmt numFmtId="43" formatCode="_-* #,##0.00_-;\-* #,##0.00_-;_-* &quot;-&quot;??_-;_-@_-"/>
    <numFmt numFmtId="176" formatCode="0.0%"/>
    <numFmt numFmtId="177" formatCode="0.00_ "/>
    <numFmt numFmtId="178" formatCode="0_ "/>
    <numFmt numFmtId="179" formatCode="_-* #,##0_-;\-* #,##0_-;_-* &quot;-&quot;??_-;_-@_-"/>
    <numFmt numFmtId="180" formatCode="#,##0_);[Red]\(#,##0\)"/>
    <numFmt numFmtId="181" formatCode="0.0"/>
    <numFmt numFmtId="182" formatCode="_-* #,##0_-;&quot;₩&quot;\!\-* #,##0_-;_-* &quot;-&quot;_-;_-@_-"/>
  </numFmts>
  <fonts count="88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8"/>
      <name val="맑은 고딕"/>
      <family val="3"/>
      <charset val="129"/>
    </font>
    <font>
      <sz val="11"/>
      <name val="돋움"/>
      <family val="3"/>
      <charset val="129"/>
    </font>
    <font>
      <sz val="11"/>
      <color indexed="8"/>
      <name val="돋움"/>
      <family val="3"/>
      <charset val="129"/>
    </font>
    <font>
      <sz val="8"/>
      <name val="맑은 고딕"/>
      <family val="3"/>
      <charset val="129"/>
    </font>
    <font>
      <sz val="8"/>
      <name val="맑은 고딕"/>
      <family val="3"/>
      <charset val="129"/>
    </font>
    <font>
      <sz val="8"/>
      <name val="맑은 고딕"/>
      <family val="3"/>
      <charset val="129"/>
    </font>
    <font>
      <sz val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theme="1"/>
      <name val="굴림"/>
      <family val="3"/>
      <charset val="129"/>
    </font>
    <font>
      <sz val="10"/>
      <color rgb="FF000000"/>
      <name val="함초롬바탕"/>
      <family val="1"/>
      <charset val="129"/>
    </font>
    <font>
      <sz val="10"/>
      <color rgb="FF000000"/>
      <name val="굴림체"/>
      <family val="3"/>
      <charset val="129"/>
    </font>
    <font>
      <b/>
      <sz val="12"/>
      <color rgb="FF000000"/>
      <name val="굴림체"/>
      <family val="3"/>
      <charset val="129"/>
    </font>
    <font>
      <b/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9"/>
      <color rgb="FF000000"/>
      <name val="굴림"/>
      <family val="3"/>
      <charset val="129"/>
    </font>
    <font>
      <b/>
      <sz val="18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sz val="16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1"/>
      <color theme="1"/>
      <name val="HancomEQN"/>
      <family val="3"/>
      <charset val="129"/>
    </font>
    <font>
      <u/>
      <sz val="11"/>
      <color theme="1"/>
      <name val="HancomEQN"/>
      <family val="3"/>
      <charset val="129"/>
    </font>
    <font>
      <b/>
      <sz val="12"/>
      <color theme="1"/>
      <name val="HancomEQN"/>
      <family val="3"/>
      <charset val="129"/>
    </font>
    <font>
      <b/>
      <sz val="20"/>
      <color theme="1"/>
      <name val="HancomEQN"/>
      <family val="3"/>
      <charset val="129"/>
    </font>
    <font>
      <sz val="11"/>
      <color theme="1"/>
      <name val="HyhwpEQ"/>
      <family val="1"/>
      <charset val="129"/>
    </font>
    <font>
      <u/>
      <sz val="22"/>
      <color theme="1"/>
      <name val="HyhwpEQ"/>
      <family val="1"/>
      <charset val="129"/>
    </font>
    <font>
      <sz val="11"/>
      <color theme="0"/>
      <name val="HyhwpEQ"/>
      <family val="1"/>
      <charset val="129"/>
    </font>
    <font>
      <sz val="9"/>
      <color rgb="FF000000"/>
      <name val="HyhwpEQ"/>
      <family val="1"/>
      <charset val="129"/>
    </font>
    <font>
      <sz val="9"/>
      <color theme="1"/>
      <name val="HyhwpEQ"/>
      <family val="1"/>
      <charset val="129"/>
    </font>
    <font>
      <sz val="8"/>
      <color theme="1"/>
      <name val="HyhwpEQ"/>
      <family val="1"/>
      <charset val="129"/>
    </font>
    <font>
      <sz val="8"/>
      <name val="HyhwpEQ"/>
      <family val="1"/>
      <charset val="129"/>
    </font>
    <font>
      <b/>
      <sz val="9"/>
      <color theme="1"/>
      <name val="HyhwpEQ"/>
      <family val="1"/>
      <charset val="129"/>
    </font>
    <font>
      <sz val="9"/>
      <name val="HyhwpEQ"/>
      <family val="1"/>
      <charset val="129"/>
    </font>
    <font>
      <b/>
      <sz val="10"/>
      <color theme="1"/>
      <name val="HyhwpEQ"/>
      <family val="1"/>
      <charset val="129"/>
    </font>
    <font>
      <b/>
      <sz val="9"/>
      <name val="HyhwpEQ"/>
      <family val="1"/>
      <charset val="129"/>
    </font>
    <font>
      <b/>
      <sz val="9"/>
      <color rgb="FF000000"/>
      <name val="HyhwpEQ"/>
      <family val="1"/>
      <charset val="129"/>
    </font>
    <font>
      <sz val="10"/>
      <color theme="1"/>
      <name val="HyhwpEQ"/>
      <family val="1"/>
      <charset val="129"/>
    </font>
    <font>
      <b/>
      <sz val="8"/>
      <color theme="1"/>
      <name val="HyhwpEQ"/>
      <family val="1"/>
      <charset val="129"/>
    </font>
    <font>
      <sz val="10"/>
      <name val="HyhwpEQ"/>
      <family val="1"/>
      <charset val="129"/>
    </font>
    <font>
      <sz val="11"/>
      <name val="HyhwpEQ"/>
      <family val="1"/>
      <charset val="129"/>
    </font>
    <font>
      <b/>
      <sz val="14"/>
      <color theme="1"/>
      <name val="HyhwpEQ"/>
      <family val="1"/>
      <charset val="129"/>
    </font>
    <font>
      <sz val="20"/>
      <color theme="1"/>
      <name val="HyhwpEQ"/>
      <family val="1"/>
      <charset val="129"/>
    </font>
    <font>
      <sz val="12"/>
      <color theme="1"/>
      <name val="HyhwpEQ"/>
      <family val="1"/>
      <charset val="129"/>
    </font>
    <font>
      <b/>
      <u/>
      <sz val="12"/>
      <color theme="1"/>
      <name val="HyhwpEQ"/>
      <family val="1"/>
      <charset val="129"/>
    </font>
    <font>
      <b/>
      <sz val="11"/>
      <color theme="1"/>
      <name val="HyhwpEQ"/>
      <family val="1"/>
      <charset val="129"/>
    </font>
    <font>
      <b/>
      <sz val="9"/>
      <color rgb="FF003164"/>
      <name val="Tahoma"/>
      <family val="2"/>
    </font>
    <font>
      <sz val="9"/>
      <color rgb="FF444444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9"/>
      <color indexed="81"/>
      <name val="돋움"/>
      <family val="3"/>
      <charset val="129"/>
    </font>
    <font>
      <sz val="12"/>
      <color rgb="FF00B0F0"/>
      <name val="HyhwpEQ"/>
      <family val="1"/>
      <charset val="129"/>
    </font>
    <font>
      <sz val="9"/>
      <color theme="1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</font>
    <font>
      <sz val="11"/>
      <color rgb="FFFF0000"/>
      <name val="HancomEQN"/>
      <family val="3"/>
      <charset val="129"/>
    </font>
    <font>
      <sz val="11"/>
      <color rgb="FFFF0000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inor"/>
    </font>
    <font>
      <b/>
      <sz val="12"/>
      <color rgb="FF000000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sz val="9"/>
      <color rgb="FF000000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9"/>
      <color rgb="FF003164"/>
      <name val="맑은 고딕"/>
      <family val="3"/>
      <charset val="129"/>
      <scheme val="minor"/>
    </font>
    <font>
      <b/>
      <sz val="9"/>
      <color rgb="FF00000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inor"/>
    </font>
    <font>
      <b/>
      <u/>
      <sz val="22"/>
      <name val="맑은 고딕"/>
      <family val="3"/>
      <charset val="129"/>
      <scheme val="minor"/>
    </font>
    <font>
      <b/>
      <sz val="9"/>
      <color rgb="FFFF0000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b/>
      <u/>
      <sz val="18"/>
      <color theme="1"/>
      <name val="맑은 고딕"/>
      <family val="3"/>
      <charset val="129"/>
      <scheme val="minor"/>
    </font>
    <font>
      <sz val="11"/>
      <name val="HancomEQN"/>
      <family val="3"/>
      <charset val="129"/>
    </font>
    <font>
      <sz val="12"/>
      <color rgb="FF000000"/>
      <name val="맑은 고딕"/>
      <family val="3"/>
      <charset val="129"/>
      <scheme val="minor"/>
    </font>
    <font>
      <b/>
      <u/>
      <sz val="24"/>
      <name val="맑은 고딕"/>
      <family val="3"/>
      <charset val="129"/>
      <scheme val="minor"/>
    </font>
    <font>
      <sz val="12"/>
      <name val="바탕체"/>
      <family val="1"/>
      <charset val="129"/>
    </font>
    <font>
      <b/>
      <sz val="12"/>
      <name val="맑은 고딕"/>
      <family val="3"/>
      <charset val="129"/>
      <scheme val="major"/>
    </font>
    <font>
      <b/>
      <sz val="16"/>
      <color rgb="FF0000CC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b/>
      <sz val="14"/>
      <name val="맑은 고딕"/>
      <family val="3"/>
      <charset val="129"/>
      <scheme val="minor"/>
    </font>
    <font>
      <sz val="8"/>
      <name val="돋움"/>
      <family val="3"/>
      <charset val="129"/>
    </font>
    <font>
      <b/>
      <sz val="12"/>
      <name val="맑은 고딕"/>
      <family val="3"/>
      <charset val="129"/>
      <scheme val="minor"/>
    </font>
    <font>
      <sz val="14"/>
      <name val="맑은 고딕"/>
      <family val="3"/>
      <charset val="129"/>
      <scheme val="minor"/>
    </font>
    <font>
      <b/>
      <sz val="14"/>
      <color rgb="FF000000"/>
      <name val="맑은 고딕"/>
      <family val="3"/>
      <charset val="129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9"/>
      </patternFill>
    </fill>
    <fill>
      <patternFill patternType="solid">
        <fgColor indexed="9"/>
        <bgColor indexed="9"/>
      </patternFill>
    </fill>
    <fill>
      <patternFill patternType="solid">
        <fgColor theme="3" tint="0.59999389629810485"/>
        <bgColor indexed="9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Down="1">
      <left style="medium">
        <color indexed="64"/>
      </left>
      <right style="hair">
        <color indexed="64"/>
      </right>
      <top style="medium">
        <color indexed="64"/>
      </top>
      <bottom/>
      <diagonal style="thin">
        <color indexed="64"/>
      </diagonal>
    </border>
    <border diagonalDown="1">
      <left style="hair">
        <color indexed="64"/>
      </left>
      <right style="hair">
        <color indexed="64"/>
      </right>
      <top style="medium">
        <color indexed="64"/>
      </top>
      <bottom/>
      <diagonal style="thin">
        <color indexed="64"/>
      </diagonal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</borders>
  <cellStyleXfs count="17">
    <xf numFmtId="0" fontId="0" fillId="0" borderId="0">
      <alignment vertical="center"/>
    </xf>
    <xf numFmtId="9" fontId="4" fillId="0" borderId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9" fillId="0" borderId="0">
      <alignment vertical="center"/>
    </xf>
    <xf numFmtId="0" fontId="3" fillId="0" borderId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0" fontId="3" fillId="0" borderId="0"/>
    <xf numFmtId="41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82" fontId="3" fillId="0" borderId="0" applyFont="0" applyFill="0" applyBorder="0" applyAlignment="0" applyProtection="0"/>
  </cellStyleXfs>
  <cellXfs count="518">
    <xf numFmtId="0" fontId="0" fillId="0" borderId="0" xfId="0">
      <alignment vertical="center"/>
    </xf>
    <xf numFmtId="41" fontId="10" fillId="0" borderId="0" xfId="2" applyFont="1" applyAlignment="1">
      <alignment vertical="center" wrapText="1"/>
    </xf>
    <xf numFmtId="0" fontId="11" fillId="0" borderId="0" xfId="0" applyFont="1" applyBorder="1" applyAlignment="1">
      <alignment horizontal="center" vertical="center" wrapText="1"/>
    </xf>
    <xf numFmtId="0" fontId="0" fillId="0" borderId="0" xfId="0" applyBorder="1">
      <alignment vertical="center"/>
    </xf>
    <xf numFmtId="41" fontId="0" fillId="0" borderId="0" xfId="0" applyNumberFormat="1">
      <alignment vertical="center"/>
    </xf>
    <xf numFmtId="43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3" fillId="0" borderId="3" xfId="0" applyFont="1" applyBorder="1" applyAlignment="1">
      <alignment vertical="center"/>
    </xf>
    <xf numFmtId="0" fontId="9" fillId="0" borderId="0" xfId="6" applyAlignment="1">
      <alignment horizontal="center" vertical="center"/>
    </xf>
    <xf numFmtId="177" fontId="9" fillId="0" borderId="0" xfId="6" applyNumberFormat="1" applyAlignment="1">
      <alignment horizontal="center" vertical="center"/>
    </xf>
    <xf numFmtId="0" fontId="14" fillId="0" borderId="1" xfId="6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1" xfId="6" applyBorder="1" applyAlignment="1">
      <alignment horizontal="center" vertical="center" wrapText="1"/>
    </xf>
    <xf numFmtId="0" fontId="9" fillId="0" borderId="1" xfId="6" applyBorder="1" applyAlignment="1">
      <alignment horizontal="center" vertical="center"/>
    </xf>
    <xf numFmtId="0" fontId="9" fillId="0" borderId="0" xfId="6" applyAlignment="1">
      <alignment horizontal="left" vertical="center"/>
    </xf>
    <xf numFmtId="41" fontId="0" fillId="0" borderId="0" xfId="2" applyFont="1">
      <alignment vertical="center"/>
    </xf>
    <xf numFmtId="0" fontId="0" fillId="0" borderId="1" xfId="6" applyFont="1" applyBorder="1" applyAlignment="1">
      <alignment horizontal="center" vertical="center"/>
    </xf>
    <xf numFmtId="0" fontId="19" fillId="0" borderId="0" xfId="0" applyFont="1">
      <alignment vertical="center"/>
    </xf>
    <xf numFmtId="0" fontId="19" fillId="8" borderId="0" xfId="0" applyFont="1" applyFill="1">
      <alignment vertical="center"/>
    </xf>
    <xf numFmtId="0" fontId="20" fillId="0" borderId="0" xfId="0" applyFont="1">
      <alignment vertical="center"/>
    </xf>
    <xf numFmtId="0" fontId="9" fillId="0" borderId="0" xfId="6" applyAlignment="1">
      <alignment horizontal="left" vertical="center"/>
    </xf>
    <xf numFmtId="0" fontId="12" fillId="0" borderId="0" xfId="0" applyFont="1" applyBorder="1" applyAlignment="1">
      <alignment horizontal="center" vertical="center" wrapText="1"/>
    </xf>
    <xf numFmtId="0" fontId="17" fillId="0" borderId="0" xfId="6" applyFont="1" applyAlignment="1">
      <alignment horizontal="center" vertical="center"/>
    </xf>
    <xf numFmtId="0" fontId="21" fillId="0" borderId="0" xfId="0" applyFont="1">
      <alignment vertical="center"/>
    </xf>
    <xf numFmtId="3" fontId="0" fillId="0" borderId="0" xfId="0" applyNumberForma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6" applyFont="1" applyAlignment="1">
      <alignment horizontal="center" vertical="center"/>
    </xf>
    <xf numFmtId="1" fontId="9" fillId="0" borderId="0" xfId="6" applyNumberFormat="1" applyAlignment="1">
      <alignment horizontal="center" vertical="center"/>
    </xf>
    <xf numFmtId="0" fontId="15" fillId="8" borderId="0" xfId="0" applyFont="1" applyFill="1">
      <alignment vertical="center"/>
    </xf>
    <xf numFmtId="41" fontId="26" fillId="0" borderId="0" xfId="2" applyFont="1">
      <alignment vertical="center"/>
    </xf>
    <xf numFmtId="0" fontId="26" fillId="0" borderId="0" xfId="0" applyFont="1" applyAlignment="1">
      <alignment horizontal="center" vertical="center"/>
    </xf>
    <xf numFmtId="41" fontId="28" fillId="0" borderId="0" xfId="2" applyFont="1">
      <alignment vertical="center"/>
    </xf>
    <xf numFmtId="0" fontId="26" fillId="0" borderId="0" xfId="0" applyFont="1" applyBorder="1">
      <alignment vertical="center"/>
    </xf>
    <xf numFmtId="0" fontId="26" fillId="0" borderId="0" xfId="0" applyFont="1" applyAlignment="1">
      <alignment horizontal="right" vertical="center"/>
    </xf>
    <xf numFmtId="41" fontId="31" fillId="4" borderId="4" xfId="3" applyFont="1" applyFill="1" applyBorder="1" applyAlignment="1">
      <alignment horizontal="center" vertical="center"/>
    </xf>
    <xf numFmtId="0" fontId="31" fillId="4" borderId="4" xfId="6" applyFont="1" applyFill="1" applyBorder="1" applyAlignment="1">
      <alignment horizontal="center" vertical="center" wrapText="1" shrinkToFit="1"/>
    </xf>
    <xf numFmtId="0" fontId="30" fillId="4" borderId="4" xfId="6" applyFont="1" applyFill="1" applyBorder="1" applyAlignment="1">
      <alignment horizontal="center" vertical="center" wrapText="1" shrinkToFit="1"/>
    </xf>
    <xf numFmtId="0" fontId="30" fillId="4" borderId="4" xfId="6" applyFont="1" applyFill="1" applyBorder="1" applyAlignment="1">
      <alignment horizontal="center" vertical="center"/>
    </xf>
    <xf numFmtId="0" fontId="26" fillId="4" borderId="5" xfId="0" applyFont="1" applyFill="1" applyBorder="1">
      <alignment vertical="center"/>
    </xf>
    <xf numFmtId="41" fontId="30" fillId="4" borderId="1" xfId="3" applyNumberFormat="1" applyFont="1" applyFill="1" applyBorder="1">
      <alignment vertical="center"/>
    </xf>
    <xf numFmtId="0" fontId="30" fillId="4" borderId="2" xfId="0" applyFont="1" applyFill="1" applyBorder="1" applyAlignment="1">
      <alignment vertical="center" wrapText="1"/>
    </xf>
    <xf numFmtId="0" fontId="31" fillId="4" borderId="2" xfId="0" applyFont="1" applyFill="1" applyBorder="1" applyAlignment="1">
      <alignment vertical="center" wrapText="1"/>
    </xf>
    <xf numFmtId="0" fontId="32" fillId="4" borderId="2" xfId="0" applyFont="1" applyFill="1" applyBorder="1">
      <alignment vertical="center"/>
    </xf>
    <xf numFmtId="0" fontId="30" fillId="4" borderId="1" xfId="6" applyFont="1" applyFill="1" applyBorder="1" applyAlignment="1">
      <alignment horizontal="center" vertical="center" shrinkToFit="1"/>
    </xf>
    <xf numFmtId="179" fontId="30" fillId="4" borderId="1" xfId="3" applyNumberFormat="1" applyFont="1" applyFill="1" applyBorder="1" applyAlignment="1">
      <alignment vertical="center" shrinkToFit="1"/>
    </xf>
    <xf numFmtId="0" fontId="26" fillId="4" borderId="2" xfId="0" applyFont="1" applyFill="1" applyBorder="1">
      <alignment vertical="center"/>
    </xf>
    <xf numFmtId="0" fontId="30" fillId="4" borderId="2" xfId="0" applyFont="1" applyFill="1" applyBorder="1">
      <alignment vertical="center"/>
    </xf>
    <xf numFmtId="0" fontId="30" fillId="4" borderId="1" xfId="6" applyFont="1" applyFill="1" applyBorder="1" applyAlignment="1">
      <alignment horizontal="center" vertical="center"/>
    </xf>
    <xf numFmtId="9" fontId="30" fillId="4" borderId="1" xfId="6" applyNumberFormat="1" applyFont="1" applyFill="1" applyBorder="1" applyAlignment="1">
      <alignment horizontal="center" vertical="center" shrinkToFit="1"/>
    </xf>
    <xf numFmtId="41" fontId="30" fillId="2" borderId="1" xfId="3" applyNumberFormat="1" applyFont="1" applyFill="1" applyBorder="1">
      <alignment vertical="center"/>
    </xf>
    <xf numFmtId="41" fontId="30" fillId="6" borderId="1" xfId="3" applyNumberFormat="1" applyFont="1" applyFill="1" applyBorder="1">
      <alignment vertical="center"/>
    </xf>
    <xf numFmtId="0" fontId="26" fillId="2" borderId="2" xfId="0" applyFont="1" applyFill="1" applyBorder="1">
      <alignment vertical="center"/>
    </xf>
    <xf numFmtId="41" fontId="30" fillId="0" borderId="1" xfId="3" applyNumberFormat="1" applyFont="1" applyFill="1" applyBorder="1">
      <alignment vertical="center"/>
    </xf>
    <xf numFmtId="0" fontId="30" fillId="3" borderId="30" xfId="0" applyFont="1" applyFill="1" applyBorder="1" applyAlignment="1">
      <alignment vertical="center" wrapText="1"/>
    </xf>
    <xf numFmtId="0" fontId="30" fillId="3" borderId="2" xfId="0" applyFont="1" applyFill="1" applyBorder="1">
      <alignment vertical="center"/>
    </xf>
    <xf numFmtId="41" fontId="30" fillId="2" borderId="1" xfId="6" applyNumberFormat="1" applyFont="1" applyFill="1" applyBorder="1">
      <alignment vertical="center"/>
    </xf>
    <xf numFmtId="41" fontId="36" fillId="4" borderId="1" xfId="3" applyFont="1" applyFill="1" applyBorder="1">
      <alignment vertical="center"/>
    </xf>
    <xf numFmtId="41" fontId="36" fillId="4" borderId="1" xfId="6" applyNumberFormat="1" applyFont="1" applyFill="1" applyBorder="1">
      <alignment vertical="center"/>
    </xf>
    <xf numFmtId="41" fontId="30" fillId="4" borderId="1" xfId="3" applyFont="1" applyFill="1" applyBorder="1">
      <alignment vertical="center"/>
    </xf>
    <xf numFmtId="176" fontId="30" fillId="4" borderId="1" xfId="6" applyNumberFormat="1" applyFont="1" applyFill="1" applyBorder="1" applyAlignment="1">
      <alignment horizontal="center" vertical="center"/>
    </xf>
    <xf numFmtId="41" fontId="30" fillId="4" borderId="1" xfId="3" applyFont="1" applyFill="1" applyBorder="1" applyAlignment="1">
      <alignment horizontal="center" vertical="center"/>
    </xf>
    <xf numFmtId="0" fontId="26" fillId="4" borderId="2" xfId="0" quotePrefix="1" applyFont="1" applyFill="1" applyBorder="1">
      <alignment vertical="center"/>
    </xf>
    <xf numFmtId="9" fontId="30" fillId="4" borderId="1" xfId="6" applyNumberFormat="1" applyFont="1" applyFill="1" applyBorder="1" applyAlignment="1">
      <alignment horizontal="center" vertical="center"/>
    </xf>
    <xf numFmtId="179" fontId="30" fillId="4" borderId="1" xfId="3" applyNumberFormat="1" applyFont="1" applyFill="1" applyBorder="1" applyAlignment="1">
      <alignment horizontal="center" vertical="center"/>
    </xf>
    <xf numFmtId="0" fontId="33" fillId="5" borderId="6" xfId="6" applyFont="1" applyFill="1" applyBorder="1" applyAlignment="1">
      <alignment horizontal="center" vertical="center"/>
    </xf>
    <xf numFmtId="41" fontId="39" fillId="5" borderId="6" xfId="3" applyFont="1" applyFill="1" applyBorder="1">
      <alignment vertical="center"/>
    </xf>
    <xf numFmtId="179" fontId="33" fillId="5" borderId="6" xfId="3" applyNumberFormat="1" applyFont="1" applyFill="1" applyBorder="1">
      <alignment vertical="center"/>
    </xf>
    <xf numFmtId="41" fontId="40" fillId="5" borderId="9" xfId="2" applyFont="1" applyFill="1" applyBorder="1" applyAlignment="1">
      <alignment vertical="center" wrapText="1"/>
    </xf>
    <xf numFmtId="41" fontId="30" fillId="4" borderId="2" xfId="0" applyNumberFormat="1" applyFont="1" applyFill="1" applyBorder="1">
      <alignment vertical="center"/>
    </xf>
    <xf numFmtId="0" fontId="0" fillId="8" borderId="0" xfId="0" applyFill="1">
      <alignment vertical="center"/>
    </xf>
    <xf numFmtId="0" fontId="30" fillId="4" borderId="2" xfId="0" applyFont="1" applyFill="1" applyBorder="1" applyAlignment="1">
      <alignment horizontal="center" vertical="center"/>
    </xf>
    <xf numFmtId="0" fontId="30" fillId="0" borderId="1" xfId="6" applyFont="1" applyFill="1" applyBorder="1" applyAlignment="1">
      <alignment horizontal="center" vertical="center"/>
    </xf>
    <xf numFmtId="0" fontId="34" fillId="0" borderId="1" xfId="6" applyFont="1" applyFill="1" applyBorder="1" applyAlignment="1">
      <alignment horizontal="center" vertical="center" shrinkToFit="1"/>
    </xf>
    <xf numFmtId="0" fontId="30" fillId="0" borderId="1" xfId="6" applyFont="1" applyFill="1" applyBorder="1" applyAlignment="1">
      <alignment horizontal="center" vertical="center" shrinkToFit="1"/>
    </xf>
    <xf numFmtId="0" fontId="30" fillId="4" borderId="2" xfId="0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center" vertical="center"/>
    </xf>
    <xf numFmtId="0" fontId="24" fillId="0" borderId="0" xfId="0" applyFont="1" applyFill="1">
      <alignment vertical="center"/>
    </xf>
    <xf numFmtId="0" fontId="22" fillId="0" borderId="0" xfId="0" applyFont="1" applyFill="1">
      <alignment vertical="center"/>
    </xf>
    <xf numFmtId="0" fontId="19" fillId="10" borderId="0" xfId="0" applyFont="1" applyFill="1">
      <alignment vertical="center"/>
    </xf>
    <xf numFmtId="0" fontId="30" fillId="7" borderId="11" xfId="0" applyFont="1" applyFill="1" applyBorder="1" applyAlignment="1">
      <alignment horizontal="center" vertical="center"/>
    </xf>
    <xf numFmtId="0" fontId="30" fillId="7" borderId="1" xfId="0" applyFont="1" applyFill="1" applyBorder="1" applyAlignment="1">
      <alignment horizontal="center" vertical="center"/>
    </xf>
    <xf numFmtId="0" fontId="41" fillId="0" borderId="1" xfId="0" applyFont="1" applyFill="1" applyBorder="1" applyAlignment="1">
      <alignment horizontal="center" vertical="center"/>
    </xf>
    <xf numFmtId="0" fontId="41" fillId="9" borderId="1" xfId="0" applyFont="1" applyFill="1" applyBorder="1" applyAlignment="1">
      <alignment horizontal="center" vertical="center"/>
    </xf>
    <xf numFmtId="0" fontId="41" fillId="10" borderId="1" xfId="0" applyFont="1" applyFill="1" applyBorder="1" applyAlignment="1">
      <alignment horizontal="center" vertical="center"/>
    </xf>
    <xf numFmtId="0" fontId="41" fillId="11" borderId="1" xfId="0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44" fillId="0" borderId="0" xfId="0" applyFont="1">
      <alignment vertical="center"/>
    </xf>
    <xf numFmtId="43" fontId="30" fillId="4" borderId="1" xfId="2" applyNumberFormat="1" applyFont="1" applyFill="1" applyBorder="1">
      <alignment vertical="center"/>
    </xf>
    <xf numFmtId="0" fontId="47" fillId="0" borderId="0" xfId="0" applyFont="1">
      <alignment vertical="center"/>
    </xf>
    <xf numFmtId="0" fontId="48" fillId="0" borderId="0" xfId="0" applyFont="1" applyAlignment="1">
      <alignment vertical="center" wrapText="1"/>
    </xf>
    <xf numFmtId="0" fontId="0" fillId="0" borderId="0" xfId="0">
      <alignment vertical="center"/>
    </xf>
    <xf numFmtId="41" fontId="54" fillId="4" borderId="1" xfId="3" applyNumberFormat="1" applyFont="1" applyFill="1" applyBorder="1">
      <alignment vertical="center"/>
    </xf>
    <xf numFmtId="0" fontId="54" fillId="4" borderId="1" xfId="6" applyFont="1" applyFill="1" applyBorder="1" applyAlignment="1">
      <alignment horizontal="center" vertical="center"/>
    </xf>
    <xf numFmtId="41" fontId="54" fillId="0" borderId="1" xfId="3" applyNumberFormat="1" applyFont="1" applyFill="1" applyBorder="1">
      <alignment vertical="center"/>
    </xf>
    <xf numFmtId="41" fontId="55" fillId="4" borderId="1" xfId="3" applyFont="1" applyFill="1" applyBorder="1">
      <alignment vertical="center"/>
    </xf>
    <xf numFmtId="41" fontId="55" fillId="4" borderId="1" xfId="6" applyNumberFormat="1" applyFont="1" applyFill="1" applyBorder="1">
      <alignment vertical="center"/>
    </xf>
    <xf numFmtId="41" fontId="54" fillId="4" borderId="1" xfId="3" applyFont="1" applyFill="1" applyBorder="1">
      <alignment vertical="center"/>
    </xf>
    <xf numFmtId="41" fontId="54" fillId="4" borderId="1" xfId="3" applyFont="1" applyFill="1" applyBorder="1" applyAlignment="1">
      <alignment horizontal="center" vertical="center"/>
    </xf>
    <xf numFmtId="179" fontId="54" fillId="4" borderId="1" xfId="3" applyNumberFormat="1" applyFont="1" applyFill="1" applyBorder="1" applyAlignment="1">
      <alignment horizontal="center" vertical="center"/>
    </xf>
    <xf numFmtId="179" fontId="56" fillId="5" borderId="6" xfId="3" applyNumberFormat="1" applyFont="1" applyFill="1" applyBorder="1">
      <alignment vertical="center"/>
    </xf>
    <xf numFmtId="0" fontId="9" fillId="0" borderId="0" xfId="6">
      <alignment vertical="center"/>
    </xf>
    <xf numFmtId="41" fontId="0" fillId="3" borderId="0" xfId="3" applyFont="1" applyFill="1" applyBorder="1" applyAlignment="1">
      <alignment horizontal="left" vertical="center"/>
    </xf>
    <xf numFmtId="0" fontId="9" fillId="5" borderId="1" xfId="6" applyFont="1" applyFill="1" applyBorder="1" applyAlignment="1">
      <alignment horizontal="center" vertical="center"/>
    </xf>
    <xf numFmtId="0" fontId="9" fillId="5" borderId="1" xfId="6" applyFill="1" applyBorder="1" applyAlignment="1">
      <alignment horizontal="center" vertical="center"/>
    </xf>
    <xf numFmtId="0" fontId="9" fillId="5" borderId="1" xfId="6" applyFill="1" applyBorder="1" applyAlignment="1">
      <alignment horizontal="center" vertical="center" wrapText="1"/>
    </xf>
    <xf numFmtId="41" fontId="9" fillId="0" borderId="1" xfId="3" applyFont="1" applyBorder="1" applyAlignment="1">
      <alignment horizontal="center" vertical="center"/>
    </xf>
    <xf numFmtId="0" fontId="0" fillId="0" borderId="0" xfId="6" applyFont="1" applyAlignment="1">
      <alignment horizontal="left" vertical="center"/>
    </xf>
    <xf numFmtId="0" fontId="0" fillId="0" borderId="0" xfId="6" quotePrefix="1" applyFont="1" applyAlignment="1">
      <alignment horizontal="left" vertical="center"/>
    </xf>
    <xf numFmtId="0" fontId="57" fillId="0" borderId="0" xfId="6" applyFont="1" applyAlignment="1">
      <alignment horizontal="center" vertical="center"/>
    </xf>
    <xf numFmtId="180" fontId="9" fillId="3" borderId="29" xfId="3" applyNumberFormat="1" applyFont="1" applyFill="1" applyBorder="1" applyAlignment="1">
      <alignment horizontal="center" vertical="center"/>
    </xf>
    <xf numFmtId="180" fontId="0" fillId="0" borderId="0" xfId="0" applyNumberFormat="1">
      <alignment vertical="center"/>
    </xf>
    <xf numFmtId="180" fontId="0" fillId="0" borderId="0" xfId="2" applyNumberFormat="1" applyFont="1">
      <alignment vertical="center"/>
    </xf>
    <xf numFmtId="0" fontId="0" fillId="0" borderId="10" xfId="0" applyBorder="1" applyAlignment="1">
      <alignment vertical="center"/>
    </xf>
    <xf numFmtId="0" fontId="0" fillId="0" borderId="0" xfId="0" applyAlignment="1">
      <alignment vertical="center"/>
    </xf>
    <xf numFmtId="10" fontId="0" fillId="0" borderId="0" xfId="2" applyNumberFormat="1" applyFont="1">
      <alignment vertical="center"/>
    </xf>
    <xf numFmtId="0" fontId="59" fillId="0" borderId="0" xfId="0" applyFont="1" applyFill="1">
      <alignment vertical="center"/>
    </xf>
    <xf numFmtId="0" fontId="60" fillId="5" borderId="1" xfId="6" applyFont="1" applyFill="1" applyBorder="1" applyAlignment="1">
      <alignment horizontal="center" vertical="center" wrapText="1"/>
    </xf>
    <xf numFmtId="41" fontId="60" fillId="0" borderId="1" xfId="3" applyFont="1" applyBorder="1" applyAlignment="1">
      <alignment horizontal="center" vertical="center"/>
    </xf>
    <xf numFmtId="41" fontId="61" fillId="4" borderId="1" xfId="3" applyNumberFormat="1" applyFont="1" applyFill="1" applyBorder="1">
      <alignment vertical="center"/>
    </xf>
    <xf numFmtId="0" fontId="0" fillId="0" borderId="0" xfId="0" applyFont="1">
      <alignment vertical="center"/>
    </xf>
    <xf numFmtId="0" fontId="62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/>
    </xf>
    <xf numFmtId="41" fontId="63" fillId="0" borderId="0" xfId="2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Alignment="1">
      <alignment horizontal="right" vertical="center"/>
    </xf>
    <xf numFmtId="0" fontId="64" fillId="7" borderId="60" xfId="0" applyFont="1" applyFill="1" applyBorder="1" applyAlignment="1">
      <alignment horizontal="right" vertical="center" wrapText="1"/>
    </xf>
    <xf numFmtId="0" fontId="54" fillId="8" borderId="51" xfId="0" applyFont="1" applyFill="1" applyBorder="1" applyAlignment="1">
      <alignment horizontal="center" vertical="center"/>
    </xf>
    <xf numFmtId="0" fontId="54" fillId="8" borderId="23" xfId="0" applyFont="1" applyFill="1" applyBorder="1" applyAlignment="1">
      <alignment horizontal="center" vertical="center"/>
    </xf>
    <xf numFmtId="41" fontId="65" fillId="4" borderId="4" xfId="3" applyFont="1" applyFill="1" applyBorder="1" applyAlignment="1">
      <alignment horizontal="center" vertical="center"/>
    </xf>
    <xf numFmtId="0" fontId="65" fillId="4" borderId="4" xfId="6" applyFont="1" applyFill="1" applyBorder="1" applyAlignment="1">
      <alignment horizontal="center" vertical="center" wrapText="1" shrinkToFit="1"/>
    </xf>
    <xf numFmtId="0" fontId="54" fillId="4" borderId="4" xfId="6" applyFont="1" applyFill="1" applyBorder="1" applyAlignment="1">
      <alignment horizontal="center" vertical="center" wrapText="1" shrinkToFit="1"/>
    </xf>
    <xf numFmtId="0" fontId="54" fillId="4" borderId="4" xfId="6" applyFont="1" applyFill="1" applyBorder="1" applyAlignment="1">
      <alignment horizontal="center" vertical="center"/>
    </xf>
    <xf numFmtId="0" fontId="0" fillId="4" borderId="56" xfId="0" applyFont="1" applyFill="1" applyBorder="1">
      <alignment vertical="center"/>
    </xf>
    <xf numFmtId="0" fontId="61" fillId="4" borderId="54" xfId="0" applyFont="1" applyFill="1" applyBorder="1" applyAlignment="1">
      <alignment vertical="center" wrapText="1"/>
    </xf>
    <xf numFmtId="0" fontId="0" fillId="0" borderId="0" xfId="0" applyFont="1" applyFill="1" applyBorder="1">
      <alignment vertical="center"/>
    </xf>
    <xf numFmtId="0" fontId="65" fillId="4" borderId="54" xfId="0" applyFont="1" applyFill="1" applyBorder="1" applyAlignment="1">
      <alignment vertical="center" wrapText="1"/>
    </xf>
    <xf numFmtId="3" fontId="0" fillId="0" borderId="0" xfId="0" applyNumberFormat="1" applyFont="1">
      <alignment vertical="center"/>
    </xf>
    <xf numFmtId="43" fontId="0" fillId="0" borderId="0" xfId="0" applyNumberFormat="1" applyFont="1">
      <alignment vertical="center"/>
    </xf>
    <xf numFmtId="0" fontId="18" fillId="4" borderId="54" xfId="0" applyFont="1" applyFill="1" applyBorder="1">
      <alignment vertical="center"/>
    </xf>
    <xf numFmtId="0" fontId="0" fillId="0" borderId="0" xfId="0" applyFont="1" applyAlignment="1">
      <alignment vertical="center" shrinkToFit="1"/>
    </xf>
    <xf numFmtId="0" fontId="54" fillId="4" borderId="1" xfId="6" applyFont="1" applyFill="1" applyBorder="1" applyAlignment="1">
      <alignment horizontal="center" vertical="center" shrinkToFit="1"/>
    </xf>
    <xf numFmtId="0" fontId="0" fillId="4" borderId="54" xfId="0" applyFont="1" applyFill="1" applyBorder="1">
      <alignment vertical="center"/>
    </xf>
    <xf numFmtId="41" fontId="0" fillId="0" borderId="0" xfId="0" applyNumberFormat="1" applyFont="1">
      <alignment vertical="center"/>
    </xf>
    <xf numFmtId="9" fontId="54" fillId="4" borderId="1" xfId="6" applyNumberFormat="1" applyFont="1" applyFill="1" applyBorder="1" applyAlignment="1">
      <alignment horizontal="center" vertical="center" shrinkToFit="1"/>
    </xf>
    <xf numFmtId="0" fontId="54" fillId="4" borderId="54" xfId="0" applyFont="1" applyFill="1" applyBorder="1" applyAlignment="1">
      <alignment horizontal="left" vertical="center"/>
    </xf>
    <xf numFmtId="41" fontId="54" fillId="4" borderId="54" xfId="0" applyNumberFormat="1" applyFont="1" applyFill="1" applyBorder="1">
      <alignment vertical="center"/>
    </xf>
    <xf numFmtId="0" fontId="0" fillId="2" borderId="54" xfId="0" applyFont="1" applyFill="1" applyBorder="1">
      <alignment vertical="center"/>
    </xf>
    <xf numFmtId="0" fontId="54" fillId="0" borderId="1" xfId="6" applyFont="1" applyFill="1" applyBorder="1" applyAlignment="1">
      <alignment horizontal="center" vertical="center"/>
    </xf>
    <xf numFmtId="0" fontId="54" fillId="0" borderId="1" xfId="6" applyFont="1" applyFill="1" applyBorder="1" applyAlignment="1">
      <alignment horizontal="center" vertical="center" shrinkToFit="1"/>
    </xf>
    <xf numFmtId="0" fontId="54" fillId="3" borderId="54" xfId="0" applyFont="1" applyFill="1" applyBorder="1">
      <alignment vertical="center"/>
    </xf>
    <xf numFmtId="0" fontId="0" fillId="0" borderId="0" xfId="0" applyFont="1" applyAlignment="1">
      <alignment vertical="center" wrapText="1"/>
    </xf>
    <xf numFmtId="0" fontId="54" fillId="3" borderId="1" xfId="6" applyFont="1" applyFill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9" fontId="54" fillId="4" borderId="1" xfId="6" applyNumberFormat="1" applyFont="1" applyFill="1" applyBorder="1" applyAlignment="1">
      <alignment horizontal="center" vertical="center"/>
    </xf>
    <xf numFmtId="0" fontId="68" fillId="0" borderId="0" xfId="0" applyFont="1">
      <alignment vertical="center"/>
    </xf>
    <xf numFmtId="0" fontId="0" fillId="4" borderId="54" xfId="0" quotePrefix="1" applyFont="1" applyFill="1" applyBorder="1">
      <alignment vertical="center"/>
    </xf>
    <xf numFmtId="0" fontId="56" fillId="5" borderId="6" xfId="6" applyFont="1" applyFill="1" applyBorder="1" applyAlignment="1">
      <alignment horizontal="center" vertical="center"/>
    </xf>
    <xf numFmtId="179" fontId="56" fillId="5" borderId="53" xfId="3" applyNumberFormat="1" applyFont="1" applyFill="1" applyBorder="1">
      <alignment vertical="center"/>
    </xf>
    <xf numFmtId="179" fontId="56" fillId="5" borderId="38" xfId="3" applyNumberFormat="1" applyFont="1" applyFill="1" applyBorder="1">
      <alignment vertical="center"/>
    </xf>
    <xf numFmtId="179" fontId="56" fillId="5" borderId="36" xfId="3" applyNumberFormat="1" applyFont="1" applyFill="1" applyBorder="1">
      <alignment vertical="center"/>
    </xf>
    <xf numFmtId="179" fontId="56" fillId="5" borderId="9" xfId="3" applyNumberFormat="1" applyFont="1" applyFill="1" applyBorder="1">
      <alignment vertical="center"/>
    </xf>
    <xf numFmtId="41" fontId="70" fillId="5" borderId="59" xfId="2" applyFont="1" applyFill="1" applyBorder="1" applyAlignment="1">
      <alignment vertical="center" wrapText="1"/>
    </xf>
    <xf numFmtId="0" fontId="71" fillId="0" borderId="0" xfId="0" applyFont="1" applyBorder="1" applyAlignment="1">
      <alignment horizontal="center" vertical="center" wrapText="1"/>
    </xf>
    <xf numFmtId="41" fontId="0" fillId="0" borderId="0" xfId="2" applyFont="1" applyAlignment="1">
      <alignment vertical="center" wrapText="1"/>
    </xf>
    <xf numFmtId="0" fontId="0" fillId="0" borderId="0" xfId="0" applyFont="1" applyBorder="1" applyAlignment="1">
      <alignment horizontal="center" vertical="center"/>
    </xf>
    <xf numFmtId="10" fontId="0" fillId="0" borderId="0" xfId="0" applyNumberFormat="1" applyFont="1">
      <alignment vertical="center"/>
    </xf>
    <xf numFmtId="179" fontId="0" fillId="0" borderId="0" xfId="0" applyNumberFormat="1" applyFont="1">
      <alignment vertical="center"/>
    </xf>
    <xf numFmtId="9" fontId="0" fillId="0" borderId="0" xfId="0" applyNumberFormat="1" applyFont="1">
      <alignment vertical="center"/>
    </xf>
    <xf numFmtId="41" fontId="54" fillId="2" borderId="0" xfId="3" applyNumberFormat="1" applyFont="1" applyFill="1" applyBorder="1">
      <alignment vertical="center"/>
    </xf>
    <xf numFmtId="41" fontId="54" fillId="13" borderId="54" xfId="3" applyNumberFormat="1" applyFont="1" applyFill="1" applyBorder="1">
      <alignment vertical="center"/>
    </xf>
    <xf numFmtId="43" fontId="54" fillId="8" borderId="13" xfId="3" applyNumberFormat="1" applyFont="1" applyFill="1" applyBorder="1">
      <alignment vertical="center"/>
    </xf>
    <xf numFmtId="41" fontId="54" fillId="8" borderId="2" xfId="3" applyNumberFormat="1" applyFont="1" applyFill="1" applyBorder="1">
      <alignment vertical="center"/>
    </xf>
    <xf numFmtId="41" fontId="54" fillId="2" borderId="54" xfId="3" applyNumberFormat="1" applyFont="1" applyFill="1" applyBorder="1">
      <alignment vertical="center"/>
    </xf>
    <xf numFmtId="43" fontId="54" fillId="2" borderId="13" xfId="3" applyNumberFormat="1" applyFont="1" applyFill="1" applyBorder="1">
      <alignment vertical="center"/>
    </xf>
    <xf numFmtId="41" fontId="54" fillId="2" borderId="2" xfId="3" applyNumberFormat="1" applyFont="1" applyFill="1" applyBorder="1">
      <alignment vertical="center"/>
    </xf>
    <xf numFmtId="0" fontId="56" fillId="4" borderId="1" xfId="6" applyFont="1" applyFill="1" applyBorder="1" applyAlignment="1">
      <alignment horizontal="center" vertical="center"/>
    </xf>
    <xf numFmtId="41" fontId="56" fillId="4" borderId="1" xfId="3" applyNumberFormat="1" applyFont="1" applyFill="1" applyBorder="1">
      <alignment vertical="center"/>
    </xf>
    <xf numFmtId="41" fontId="56" fillId="13" borderId="54" xfId="3" applyNumberFormat="1" applyFont="1" applyFill="1" applyBorder="1">
      <alignment vertical="center"/>
    </xf>
    <xf numFmtId="43" fontId="56" fillId="8" borderId="13" xfId="3" applyNumberFormat="1" applyFont="1" applyFill="1" applyBorder="1">
      <alignment vertical="center"/>
    </xf>
    <xf numFmtId="41" fontId="56" fillId="8" borderId="2" xfId="3" applyNumberFormat="1" applyFont="1" applyFill="1" applyBorder="1">
      <alignment vertical="center"/>
    </xf>
    <xf numFmtId="41" fontId="9" fillId="0" borderId="0" xfId="2" applyFont="1">
      <alignment vertical="center"/>
    </xf>
    <xf numFmtId="41" fontId="56" fillId="2" borderId="1" xfId="3" applyNumberFormat="1" applyFont="1" applyFill="1" applyBorder="1">
      <alignment vertical="center"/>
    </xf>
    <xf numFmtId="0" fontId="14" fillId="0" borderId="0" xfId="0" applyFont="1" applyBorder="1">
      <alignment vertical="center"/>
    </xf>
    <xf numFmtId="0" fontId="69" fillId="7" borderId="4" xfId="0" applyFont="1" applyFill="1" applyBorder="1" applyAlignment="1">
      <alignment horizontal="right" vertical="center" wrapText="1"/>
    </xf>
    <xf numFmtId="0" fontId="56" fillId="4" borderId="4" xfId="6" applyFont="1" applyFill="1" applyBorder="1" applyAlignment="1">
      <alignment horizontal="center" vertical="center"/>
    </xf>
    <xf numFmtId="0" fontId="56" fillId="4" borderId="8" xfId="6" applyFont="1" applyFill="1" applyBorder="1" applyAlignment="1">
      <alignment horizontal="center" vertical="center"/>
    </xf>
    <xf numFmtId="0" fontId="73" fillId="4" borderId="1" xfId="6" applyFont="1" applyFill="1" applyBorder="1" applyAlignment="1">
      <alignment horizontal="center" vertical="center"/>
    </xf>
    <xf numFmtId="41" fontId="56" fillId="0" borderId="1" xfId="3" applyNumberFormat="1" applyFont="1" applyFill="1" applyBorder="1">
      <alignment vertical="center"/>
    </xf>
    <xf numFmtId="41" fontId="56" fillId="3" borderId="1" xfId="3" applyNumberFormat="1" applyFont="1" applyFill="1" applyBorder="1">
      <alignment vertical="center"/>
    </xf>
    <xf numFmtId="41" fontId="56" fillId="4" borderId="1" xfId="3" applyFont="1" applyFill="1" applyBorder="1">
      <alignment vertical="center"/>
    </xf>
    <xf numFmtId="41" fontId="56" fillId="12" borderId="20" xfId="3" applyNumberFormat="1" applyFont="1" applyFill="1" applyBorder="1">
      <alignment vertical="center"/>
    </xf>
    <xf numFmtId="0" fontId="14" fillId="0" borderId="0" xfId="0" applyFont="1">
      <alignment vertical="center"/>
    </xf>
    <xf numFmtId="41" fontId="56" fillId="4" borderId="1" xfId="2" applyFont="1" applyFill="1" applyBorder="1">
      <alignment vertical="center"/>
    </xf>
    <xf numFmtId="41" fontId="56" fillId="15" borderId="1" xfId="6" applyNumberFormat="1" applyFont="1" applyFill="1" applyBorder="1">
      <alignment vertical="center"/>
    </xf>
    <xf numFmtId="41" fontId="56" fillId="15" borderId="1" xfId="3" applyNumberFormat="1" applyFont="1" applyFill="1" applyBorder="1">
      <alignment vertical="center"/>
    </xf>
    <xf numFmtId="0" fontId="0" fillId="15" borderId="54" xfId="0" applyFont="1" applyFill="1" applyBorder="1">
      <alignment vertical="center"/>
    </xf>
    <xf numFmtId="41" fontId="15" fillId="4" borderId="1" xfId="2" applyFont="1" applyFill="1" applyBorder="1" applyAlignment="1">
      <alignment vertical="center"/>
    </xf>
    <xf numFmtId="41" fontId="56" fillId="2" borderId="54" xfId="3" applyNumberFormat="1" applyFont="1" applyFill="1" applyBorder="1">
      <alignment vertical="center"/>
    </xf>
    <xf numFmtId="43" fontId="56" fillId="2" borderId="13" xfId="3" applyNumberFormat="1" applyFont="1" applyFill="1" applyBorder="1">
      <alignment vertical="center"/>
    </xf>
    <xf numFmtId="41" fontId="56" fillId="2" borderId="2" xfId="3" applyNumberFormat="1" applyFont="1" applyFill="1" applyBorder="1">
      <alignment vertical="center"/>
    </xf>
    <xf numFmtId="41" fontId="56" fillId="15" borderId="54" xfId="3" applyNumberFormat="1" applyFont="1" applyFill="1" applyBorder="1">
      <alignment vertical="center"/>
    </xf>
    <xf numFmtId="43" fontId="56" fillId="15" borderId="13" xfId="3" applyNumberFormat="1" applyFont="1" applyFill="1" applyBorder="1">
      <alignment vertical="center"/>
    </xf>
    <xf numFmtId="41" fontId="56" fillId="15" borderId="2" xfId="3" applyNumberFormat="1" applyFont="1" applyFill="1" applyBorder="1">
      <alignment vertical="center"/>
    </xf>
    <xf numFmtId="41" fontId="56" fillId="12" borderId="55" xfId="3" applyNumberFormat="1" applyFont="1" applyFill="1" applyBorder="1">
      <alignment vertical="center"/>
    </xf>
    <xf numFmtId="43" fontId="56" fillId="12" borderId="13" xfId="3" applyNumberFormat="1" applyFont="1" applyFill="1" applyBorder="1">
      <alignment vertical="center"/>
    </xf>
    <xf numFmtId="41" fontId="56" fillId="12" borderId="2" xfId="3" applyNumberFormat="1" applyFont="1" applyFill="1" applyBorder="1">
      <alignment vertical="center"/>
    </xf>
    <xf numFmtId="41" fontId="54" fillId="4" borderId="66" xfId="0" applyNumberFormat="1" applyFont="1" applyFill="1" applyBorder="1">
      <alignment vertical="center"/>
    </xf>
    <xf numFmtId="41" fontId="9" fillId="3" borderId="67" xfId="3" applyFont="1" applyFill="1" applyBorder="1" applyAlignment="1">
      <alignment horizontal="center" vertical="center" wrapText="1"/>
    </xf>
    <xf numFmtId="41" fontId="9" fillId="3" borderId="67" xfId="3" applyFont="1" applyFill="1" applyBorder="1" applyAlignment="1">
      <alignment horizontal="center" vertical="center"/>
    </xf>
    <xf numFmtId="41" fontId="60" fillId="3" borderId="67" xfId="3" applyFont="1" applyFill="1" applyBorder="1" applyAlignment="1">
      <alignment horizontal="center" vertical="center"/>
    </xf>
    <xf numFmtId="41" fontId="0" fillId="3" borderId="67" xfId="3" applyFont="1" applyFill="1" applyBorder="1" applyAlignment="1">
      <alignment horizontal="center" vertical="center"/>
    </xf>
    <xf numFmtId="41" fontId="0" fillId="3" borderId="68" xfId="3" applyFont="1" applyFill="1" applyBorder="1" applyAlignment="1">
      <alignment horizontal="center" vertical="center"/>
    </xf>
    <xf numFmtId="41" fontId="9" fillId="3" borderId="68" xfId="3" applyFont="1" applyFill="1" applyBorder="1" applyAlignment="1">
      <alignment horizontal="center" vertical="center"/>
    </xf>
    <xf numFmtId="41" fontId="60" fillId="3" borderId="68" xfId="3" applyFont="1" applyFill="1" applyBorder="1" applyAlignment="1">
      <alignment horizontal="center" vertical="center"/>
    </xf>
    <xf numFmtId="0" fontId="0" fillId="0" borderId="69" xfId="0" applyBorder="1" applyAlignment="1">
      <alignment horizontal="center" vertical="center" shrinkToFit="1"/>
    </xf>
    <xf numFmtId="41" fontId="15" fillId="3" borderId="68" xfId="3" applyFont="1" applyFill="1" applyBorder="1" applyAlignment="1">
      <alignment horizontal="center" vertical="center"/>
    </xf>
    <xf numFmtId="41" fontId="0" fillId="3" borderId="70" xfId="3" applyFont="1" applyFill="1" applyBorder="1" applyAlignment="1">
      <alignment horizontal="center" vertical="center"/>
    </xf>
    <xf numFmtId="41" fontId="9" fillId="3" borderId="70" xfId="3" applyFont="1" applyFill="1" applyBorder="1" applyAlignment="1">
      <alignment horizontal="center" vertical="center"/>
    </xf>
    <xf numFmtId="41" fontId="60" fillId="3" borderId="70" xfId="3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41" fontId="66" fillId="0" borderId="1" xfId="3" applyNumberFormat="1" applyFont="1" applyFill="1" applyBorder="1">
      <alignment vertical="center"/>
    </xf>
    <xf numFmtId="0" fontId="76" fillId="0" borderId="0" xfId="0" applyFont="1" applyFill="1">
      <alignment vertical="center"/>
    </xf>
    <xf numFmtId="0" fontId="72" fillId="0" borderId="0" xfId="0" applyFont="1" applyAlignment="1">
      <alignment horizontal="center" vertical="center"/>
    </xf>
    <xf numFmtId="0" fontId="61" fillId="16" borderId="1" xfId="6" applyFont="1" applyFill="1" applyBorder="1" applyAlignment="1">
      <alignment horizontal="center" vertical="center" shrinkToFit="1"/>
    </xf>
    <xf numFmtId="41" fontId="61" fillId="16" borderId="1" xfId="3" applyNumberFormat="1" applyFont="1" applyFill="1" applyBorder="1">
      <alignment vertical="center"/>
    </xf>
    <xf numFmtId="41" fontId="73" fillId="16" borderId="1" xfId="3" applyNumberFormat="1" applyFont="1" applyFill="1" applyBorder="1">
      <alignment vertical="center"/>
    </xf>
    <xf numFmtId="41" fontId="61" fillId="16" borderId="54" xfId="3" applyNumberFormat="1" applyFont="1" applyFill="1" applyBorder="1">
      <alignment vertical="center"/>
    </xf>
    <xf numFmtId="43" fontId="61" fillId="16" borderId="13" xfId="3" applyNumberFormat="1" applyFont="1" applyFill="1" applyBorder="1">
      <alignment vertical="center"/>
    </xf>
    <xf numFmtId="41" fontId="61" fillId="16" borderId="2" xfId="3" applyNumberFormat="1" applyFont="1" applyFill="1" applyBorder="1">
      <alignment vertical="center"/>
    </xf>
    <xf numFmtId="0" fontId="61" fillId="16" borderId="1" xfId="6" applyFont="1" applyFill="1" applyBorder="1" applyAlignment="1">
      <alignment horizontal="center" vertical="center"/>
    </xf>
    <xf numFmtId="0" fontId="61" fillId="16" borderId="28" xfId="6" applyFont="1" applyFill="1" applyBorder="1" applyAlignment="1">
      <alignment horizontal="center" vertical="center"/>
    </xf>
    <xf numFmtId="0" fontId="61" fillId="16" borderId="54" xfId="0" applyFont="1" applyFill="1" applyBorder="1">
      <alignment vertical="center"/>
    </xf>
    <xf numFmtId="0" fontId="64" fillId="7" borderId="0" xfId="0" applyFont="1" applyFill="1" applyBorder="1" applyAlignment="1">
      <alignment horizontal="center" vertical="center" wrapText="1"/>
    </xf>
    <xf numFmtId="0" fontId="0" fillId="4" borderId="0" xfId="0" applyFont="1" applyFill="1" applyBorder="1">
      <alignment vertical="center"/>
    </xf>
    <xf numFmtId="0" fontId="61" fillId="4" borderId="0" xfId="0" applyFont="1" applyFill="1" applyBorder="1" applyAlignment="1">
      <alignment vertical="center" wrapText="1"/>
    </xf>
    <xf numFmtId="0" fontId="65" fillId="4" borderId="0" xfId="0" applyFont="1" applyFill="1" applyBorder="1" applyAlignment="1">
      <alignment vertical="center" wrapText="1"/>
    </xf>
    <xf numFmtId="0" fontId="18" fillId="4" borderId="0" xfId="0" applyFont="1" applyFill="1" applyBorder="1">
      <alignment vertical="center"/>
    </xf>
    <xf numFmtId="0" fontId="54" fillId="4" borderId="0" xfId="0" applyFont="1" applyFill="1" applyBorder="1" applyAlignment="1">
      <alignment horizontal="left" vertical="center"/>
    </xf>
    <xf numFmtId="41" fontId="54" fillId="4" borderId="0" xfId="0" applyNumberFormat="1" applyFont="1" applyFill="1" applyBorder="1">
      <alignment vertical="center"/>
    </xf>
    <xf numFmtId="0" fontId="0" fillId="2" borderId="0" xfId="0" applyFont="1" applyFill="1" applyBorder="1">
      <alignment vertical="center"/>
    </xf>
    <xf numFmtId="0" fontId="61" fillId="16" borderId="0" xfId="0" applyFont="1" applyFill="1" applyBorder="1" applyAlignment="1">
      <alignment vertical="center" wrapText="1"/>
    </xf>
    <xf numFmtId="0" fontId="54" fillId="3" borderId="0" xfId="0" applyFont="1" applyFill="1" applyBorder="1" applyAlignment="1">
      <alignment horizontal="left" vertical="center" wrapText="1"/>
    </xf>
    <xf numFmtId="0" fontId="54" fillId="3" borderId="0" xfId="0" applyFont="1" applyFill="1" applyBorder="1">
      <alignment vertical="center"/>
    </xf>
    <xf numFmtId="0" fontId="61" fillId="16" borderId="0" xfId="0" applyFont="1" applyFill="1" applyBorder="1">
      <alignment vertical="center"/>
    </xf>
    <xf numFmtId="0" fontId="0" fillId="15" borderId="0" xfId="0" applyFont="1" applyFill="1" applyBorder="1">
      <alignment vertical="center"/>
    </xf>
    <xf numFmtId="0" fontId="0" fillId="4" borderId="0" xfId="0" quotePrefix="1" applyFont="1" applyFill="1" applyBorder="1">
      <alignment vertical="center"/>
    </xf>
    <xf numFmtId="41" fontId="70" fillId="5" borderId="0" xfId="2" applyFont="1" applyFill="1" applyBorder="1" applyAlignment="1">
      <alignment vertical="center" wrapText="1"/>
    </xf>
    <xf numFmtId="0" fontId="54" fillId="16" borderId="1" xfId="6" applyFont="1" applyFill="1" applyBorder="1" applyAlignment="1">
      <alignment horizontal="center" vertical="center"/>
    </xf>
    <xf numFmtId="41" fontId="54" fillId="16" borderId="1" xfId="3" applyNumberFormat="1" applyFont="1" applyFill="1" applyBorder="1">
      <alignment vertical="center"/>
    </xf>
    <xf numFmtId="41" fontId="56" fillId="16" borderId="1" xfId="3" applyNumberFormat="1" applyFont="1" applyFill="1" applyBorder="1">
      <alignment vertical="center"/>
    </xf>
    <xf numFmtId="0" fontId="54" fillId="16" borderId="1" xfId="6" applyFont="1" applyFill="1" applyBorder="1" applyAlignment="1">
      <alignment horizontal="center" vertical="center" shrinkToFit="1"/>
    </xf>
    <xf numFmtId="179" fontId="54" fillId="16" borderId="1" xfId="3" applyNumberFormat="1" applyFont="1" applyFill="1" applyBorder="1" applyAlignment="1">
      <alignment vertical="center" shrinkToFit="1"/>
    </xf>
    <xf numFmtId="10" fontId="61" fillId="16" borderId="57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0" fontId="54" fillId="4" borderId="1" xfId="6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72" fillId="0" borderId="0" xfId="0" applyFont="1" applyAlignment="1">
      <alignment horizontal="center" vertical="center"/>
    </xf>
    <xf numFmtId="0" fontId="3" fillId="0" borderId="0" xfId="12"/>
    <xf numFmtId="0" fontId="81" fillId="0" borderId="0" xfId="12" applyFont="1" applyAlignment="1">
      <alignment horizontal="right" shrinkToFit="1"/>
    </xf>
    <xf numFmtId="0" fontId="80" fillId="0" borderId="0" xfId="12" applyFont="1" applyBorder="1" applyAlignment="1">
      <alignment vertical="center" wrapText="1"/>
    </xf>
    <xf numFmtId="0" fontId="82" fillId="0" borderId="0" xfId="12" applyFont="1" applyBorder="1" applyAlignment="1">
      <alignment horizontal="right" vertical="center" wrapText="1"/>
    </xf>
    <xf numFmtId="0" fontId="83" fillId="2" borderId="73" xfId="12" applyFont="1" applyFill="1" applyBorder="1" applyAlignment="1">
      <alignment horizontal="center" vertical="center" wrapText="1"/>
    </xf>
    <xf numFmtId="0" fontId="83" fillId="2" borderId="74" xfId="12" applyFont="1" applyFill="1" applyBorder="1" applyAlignment="1">
      <alignment horizontal="center" vertical="center" wrapText="1"/>
    </xf>
    <xf numFmtId="0" fontId="83" fillId="2" borderId="75" xfId="12" applyFont="1" applyFill="1" applyBorder="1" applyAlignment="1">
      <alignment horizontal="center" vertical="center"/>
    </xf>
    <xf numFmtId="41" fontId="82" fillId="17" borderId="1" xfId="13" applyFont="1" applyFill="1" applyBorder="1" applyAlignment="1">
      <alignment vertical="center"/>
    </xf>
    <xf numFmtId="41" fontId="82" fillId="17" borderId="1" xfId="13" applyNumberFormat="1" applyFont="1" applyFill="1" applyBorder="1" applyAlignment="1">
      <alignment horizontal="left" vertical="center"/>
    </xf>
    <xf numFmtId="41" fontId="82" fillId="17" borderId="1" xfId="13" applyNumberFormat="1" applyFont="1" applyFill="1" applyBorder="1" applyAlignment="1">
      <alignment vertical="center"/>
    </xf>
    <xf numFmtId="181" fontId="83" fillId="3" borderId="2" xfId="14" applyNumberFormat="1" applyFont="1" applyFill="1" applyBorder="1" applyAlignment="1">
      <alignment horizontal="right" vertical="center"/>
    </xf>
    <xf numFmtId="41" fontId="85" fillId="19" borderId="1" xfId="13" applyFont="1" applyFill="1" applyBorder="1" applyAlignment="1">
      <alignment vertical="center"/>
    </xf>
    <xf numFmtId="41" fontId="85" fillId="19" borderId="1" xfId="13" applyNumberFormat="1" applyFont="1" applyFill="1" applyBorder="1" applyAlignment="1">
      <alignment horizontal="left" vertical="center"/>
    </xf>
    <xf numFmtId="41" fontId="82" fillId="19" borderId="1" xfId="13" applyNumberFormat="1" applyFont="1" applyFill="1" applyBorder="1" applyAlignment="1">
      <alignment vertical="center"/>
    </xf>
    <xf numFmtId="181" fontId="83" fillId="18" borderId="2" xfId="14" applyNumberFormat="1" applyFont="1" applyFill="1" applyBorder="1" applyAlignment="1">
      <alignment horizontal="right" vertical="center"/>
    </xf>
    <xf numFmtId="41" fontId="77" fillId="3" borderId="1" xfId="15" applyNumberFormat="1" applyFont="1" applyFill="1" applyBorder="1" applyAlignment="1">
      <alignment vertical="center"/>
    </xf>
    <xf numFmtId="41" fontId="82" fillId="20" borderId="1" xfId="13" applyNumberFormat="1" applyFont="1" applyFill="1" applyBorder="1" applyAlignment="1">
      <alignment vertical="center"/>
    </xf>
    <xf numFmtId="181" fontId="86" fillId="0" borderId="2" xfId="14" applyNumberFormat="1" applyFont="1" applyBorder="1" applyAlignment="1">
      <alignment horizontal="right" vertical="center"/>
    </xf>
    <xf numFmtId="41" fontId="85" fillId="19" borderId="1" xfId="13" applyNumberFormat="1" applyFont="1" applyFill="1" applyBorder="1" applyAlignment="1">
      <alignment vertical="center"/>
    </xf>
    <xf numFmtId="41" fontId="77" fillId="3" borderId="1" xfId="16" applyNumberFormat="1" applyFont="1" applyFill="1" applyBorder="1" applyAlignment="1">
      <alignment vertical="center"/>
    </xf>
    <xf numFmtId="181" fontId="83" fillId="0" borderId="2" xfId="14" applyNumberFormat="1" applyFont="1" applyBorder="1" applyAlignment="1">
      <alignment horizontal="right" vertical="center"/>
    </xf>
    <xf numFmtId="179" fontId="77" fillId="3" borderId="1" xfId="15" applyNumberFormat="1" applyFont="1" applyFill="1" applyBorder="1" applyAlignment="1">
      <alignment vertical="center"/>
    </xf>
    <xf numFmtId="179" fontId="87" fillId="16" borderId="26" xfId="15" applyNumberFormat="1" applyFont="1" applyFill="1" applyBorder="1" applyAlignment="1">
      <alignment vertical="center"/>
    </xf>
    <xf numFmtId="41" fontId="83" fillId="21" borderId="20" xfId="13" applyNumberFormat="1" applyFont="1" applyFill="1" applyBorder="1" applyAlignment="1">
      <alignment horizontal="left" vertical="center"/>
    </xf>
    <xf numFmtId="41" fontId="83" fillId="21" borderId="20" xfId="13" applyNumberFormat="1" applyFont="1" applyFill="1" applyBorder="1" applyAlignment="1">
      <alignment vertical="center"/>
    </xf>
    <xf numFmtId="10" fontId="83" fillId="16" borderId="23" xfId="14" applyNumberFormat="1" applyFont="1" applyFill="1" applyBorder="1" applyAlignment="1">
      <alignment horizontal="right" vertical="center"/>
    </xf>
    <xf numFmtId="41" fontId="3" fillId="0" borderId="0" xfId="12" applyNumberFormat="1"/>
    <xf numFmtId="0" fontId="78" fillId="0" borderId="0" xfId="12" applyFont="1" applyAlignment="1">
      <alignment horizontal="center" vertical="center"/>
    </xf>
    <xf numFmtId="0" fontId="80" fillId="0" borderId="0" xfId="12" applyFont="1" applyBorder="1" applyAlignment="1">
      <alignment horizontal="left" vertical="center" wrapText="1"/>
    </xf>
    <xf numFmtId="0" fontId="82" fillId="2" borderId="71" xfId="12" applyFont="1" applyFill="1" applyBorder="1" applyAlignment="1">
      <alignment horizontal="left" vertical="center" wrapText="1"/>
    </xf>
    <xf numFmtId="0" fontId="82" fillId="2" borderId="72" xfId="12" applyFont="1" applyFill="1" applyBorder="1" applyAlignment="1">
      <alignment horizontal="left" vertical="center" wrapText="1"/>
    </xf>
    <xf numFmtId="0" fontId="82" fillId="0" borderId="13" xfId="12" applyFont="1" applyBorder="1" applyAlignment="1">
      <alignment horizontal="distributed" vertical="center" wrapText="1"/>
    </xf>
    <xf numFmtId="0" fontId="82" fillId="0" borderId="17" xfId="12" applyFont="1" applyBorder="1" applyAlignment="1">
      <alignment horizontal="center" vertical="center" wrapText="1"/>
    </xf>
    <xf numFmtId="0" fontId="82" fillId="0" borderId="8" xfId="12" applyFont="1" applyBorder="1" applyAlignment="1">
      <alignment horizontal="center" vertical="center" wrapText="1"/>
    </xf>
    <xf numFmtId="0" fontId="82" fillId="0" borderId="1" xfId="12" applyFont="1" applyBorder="1" applyAlignment="1">
      <alignment horizontal="distributed" vertical="center"/>
    </xf>
    <xf numFmtId="0" fontId="85" fillId="18" borderId="1" xfId="12" applyFont="1" applyFill="1" applyBorder="1" applyAlignment="1">
      <alignment horizontal="distributed" vertical="center"/>
    </xf>
    <xf numFmtId="0" fontId="82" fillId="0" borderId="1" xfId="12" applyFont="1" applyBorder="1" applyAlignment="1">
      <alignment horizontal="distributed" vertical="center" wrapText="1"/>
    </xf>
    <xf numFmtId="0" fontId="83" fillId="16" borderId="22" xfId="12" applyFont="1" applyFill="1" applyBorder="1" applyAlignment="1">
      <alignment horizontal="distributed" vertical="center" wrapText="1"/>
    </xf>
    <xf numFmtId="0" fontId="83" fillId="16" borderId="20" xfId="12" applyFont="1" applyFill="1" applyBorder="1" applyAlignment="1">
      <alignment horizontal="distributed" vertical="center" wrapText="1"/>
    </xf>
    <xf numFmtId="0" fontId="85" fillId="0" borderId="13" xfId="12" applyFont="1" applyBorder="1" applyAlignment="1">
      <alignment horizontal="distributed" vertical="center"/>
    </xf>
    <xf numFmtId="0" fontId="85" fillId="0" borderId="1" xfId="12" applyFont="1" applyBorder="1" applyAlignment="1">
      <alignment horizontal="distributed" vertical="center"/>
    </xf>
    <xf numFmtId="0" fontId="0" fillId="0" borderId="0" xfId="0" applyFont="1" applyBorder="1" applyAlignment="1">
      <alignment horizontal="center" vertical="center"/>
    </xf>
    <xf numFmtId="0" fontId="67" fillId="4" borderId="27" xfId="6" applyFont="1" applyFill="1" applyBorder="1" applyAlignment="1">
      <alignment horizontal="center" vertical="center"/>
    </xf>
    <xf numFmtId="0" fontId="67" fillId="4" borderId="28" xfId="6" applyFont="1" applyFill="1" applyBorder="1" applyAlignment="1">
      <alignment horizontal="center" vertical="center"/>
    </xf>
    <xf numFmtId="0" fontId="67" fillId="4" borderId="11" xfId="6" applyFont="1" applyFill="1" applyBorder="1" applyAlignment="1">
      <alignment horizontal="center" vertical="center"/>
    </xf>
    <xf numFmtId="0" fontId="54" fillId="4" borderId="1" xfId="6" applyFont="1" applyFill="1" applyBorder="1" applyAlignment="1">
      <alignment horizontal="center" vertical="center" wrapText="1"/>
    </xf>
    <xf numFmtId="0" fontId="54" fillId="4" borderId="27" xfId="6" applyFont="1" applyFill="1" applyBorder="1" applyAlignment="1">
      <alignment horizontal="center" vertical="center"/>
    </xf>
    <xf numFmtId="0" fontId="54" fillId="4" borderId="28" xfId="6" applyFont="1" applyFill="1" applyBorder="1" applyAlignment="1">
      <alignment horizontal="center" vertical="center"/>
    </xf>
    <xf numFmtId="0" fontId="54" fillId="4" borderId="11" xfId="6" applyFont="1" applyFill="1" applyBorder="1" applyAlignment="1">
      <alignment horizontal="center" vertical="center"/>
    </xf>
    <xf numFmtId="0" fontId="54" fillId="4" borderId="1" xfId="6" applyFont="1" applyFill="1" applyBorder="1" applyAlignment="1">
      <alignment horizontal="center" vertical="center"/>
    </xf>
    <xf numFmtId="0" fontId="64" fillId="0" borderId="40" xfId="0" applyFont="1" applyBorder="1" applyAlignment="1">
      <alignment horizontal="center" vertical="center" wrapText="1"/>
    </xf>
    <xf numFmtId="0" fontId="64" fillId="0" borderId="41" xfId="0" applyFont="1" applyBorder="1" applyAlignment="1">
      <alignment horizontal="center" vertical="center" wrapText="1"/>
    </xf>
    <xf numFmtId="0" fontId="64" fillId="0" borderId="42" xfId="0" applyFont="1" applyBorder="1" applyAlignment="1">
      <alignment horizontal="center" vertical="center" wrapText="1"/>
    </xf>
    <xf numFmtId="0" fontId="64" fillId="0" borderId="32" xfId="0" applyFont="1" applyBorder="1" applyAlignment="1">
      <alignment horizontal="center" vertical="center" wrapText="1"/>
    </xf>
    <xf numFmtId="0" fontId="64" fillId="0" borderId="33" xfId="0" applyFont="1" applyBorder="1" applyAlignment="1">
      <alignment horizontal="center" vertical="center" wrapText="1"/>
    </xf>
    <xf numFmtId="0" fontId="64" fillId="0" borderId="34" xfId="0" applyFont="1" applyBorder="1" applyAlignment="1">
      <alignment horizontal="center" vertical="center" wrapText="1"/>
    </xf>
    <xf numFmtId="0" fontId="64" fillId="0" borderId="35" xfId="0" applyFont="1" applyBorder="1" applyAlignment="1">
      <alignment horizontal="center" vertical="center" wrapText="1"/>
    </xf>
    <xf numFmtId="0" fontId="56" fillId="4" borderId="27" xfId="6" applyFont="1" applyFill="1" applyBorder="1" applyAlignment="1">
      <alignment horizontal="center" vertical="center"/>
    </xf>
    <xf numFmtId="0" fontId="56" fillId="4" borderId="28" xfId="6" applyFont="1" applyFill="1" applyBorder="1" applyAlignment="1">
      <alignment horizontal="center" vertical="center"/>
    </xf>
    <xf numFmtId="0" fontId="56" fillId="4" borderId="11" xfId="6" applyFont="1" applyFill="1" applyBorder="1" applyAlignment="1">
      <alignment horizontal="center" vertical="center"/>
    </xf>
    <xf numFmtId="0" fontId="69" fillId="5" borderId="36" xfId="0" applyFont="1" applyFill="1" applyBorder="1" applyAlignment="1">
      <alignment horizontal="center" vertical="center" wrapText="1"/>
    </xf>
    <xf numFmtId="0" fontId="69" fillId="5" borderId="37" xfId="0" applyFont="1" applyFill="1" applyBorder="1" applyAlignment="1">
      <alignment horizontal="center" vertical="center" wrapText="1"/>
    </xf>
    <xf numFmtId="0" fontId="67" fillId="5" borderId="38" xfId="6" applyFont="1" applyFill="1" applyBorder="1" applyAlignment="1">
      <alignment horizontal="center" vertical="center"/>
    </xf>
    <xf numFmtId="0" fontId="15" fillId="5" borderId="39" xfId="0" applyFont="1" applyFill="1" applyBorder="1">
      <alignment vertical="center"/>
    </xf>
    <xf numFmtId="0" fontId="15" fillId="5" borderId="37" xfId="0" applyFont="1" applyFill="1" applyBorder="1">
      <alignment vertical="center"/>
    </xf>
    <xf numFmtId="0" fontId="54" fillId="0" borderId="1" xfId="6" applyFont="1" applyBorder="1" applyAlignment="1">
      <alignment horizontal="center" vertical="center" wrapText="1"/>
    </xf>
    <xf numFmtId="0" fontId="54" fillId="3" borderId="1" xfId="6" applyFont="1" applyFill="1" applyBorder="1" applyAlignment="1">
      <alignment horizontal="center" vertical="center" wrapText="1"/>
    </xf>
    <xf numFmtId="0" fontId="56" fillId="15" borderId="27" xfId="6" applyFont="1" applyFill="1" applyBorder="1" applyAlignment="1">
      <alignment horizontal="left" vertical="center" indent="10"/>
    </xf>
    <xf numFmtId="0" fontId="56" fillId="15" borderId="28" xfId="6" applyFont="1" applyFill="1" applyBorder="1" applyAlignment="1">
      <alignment horizontal="left" vertical="center" indent="10"/>
    </xf>
    <xf numFmtId="0" fontId="56" fillId="15" borderId="11" xfId="6" applyFont="1" applyFill="1" applyBorder="1" applyAlignment="1">
      <alignment horizontal="left" vertical="center" indent="10"/>
    </xf>
    <xf numFmtId="0" fontId="54" fillId="3" borderId="57" xfId="0" applyFont="1" applyFill="1" applyBorder="1" applyAlignment="1">
      <alignment horizontal="left" vertical="center" wrapText="1"/>
    </xf>
    <xf numFmtId="0" fontId="54" fillId="3" borderId="58" xfId="0" applyFont="1" applyFill="1" applyBorder="1" applyAlignment="1">
      <alignment horizontal="left" vertical="center" wrapText="1"/>
    </xf>
    <xf numFmtId="0" fontId="0" fillId="0" borderId="0" xfId="0" applyFont="1" applyAlignment="1">
      <alignment horizontal="center" vertical="center"/>
    </xf>
    <xf numFmtId="0" fontId="56" fillId="2" borderId="27" xfId="6" applyFont="1" applyFill="1" applyBorder="1" applyAlignment="1">
      <alignment horizontal="left" vertical="center" indent="10"/>
    </xf>
    <xf numFmtId="0" fontId="56" fillId="2" borderId="28" xfId="6" applyFont="1" applyFill="1" applyBorder="1" applyAlignment="1">
      <alignment horizontal="left" vertical="center" indent="10"/>
    </xf>
    <xf numFmtId="0" fontId="56" fillId="2" borderId="11" xfId="6" applyFont="1" applyFill="1" applyBorder="1" applyAlignment="1">
      <alignment horizontal="left" vertical="center" indent="10"/>
    </xf>
    <xf numFmtId="0" fontId="54" fillId="14" borderId="64" xfId="6" applyFont="1" applyFill="1" applyBorder="1" applyAlignment="1">
      <alignment horizontal="center" vertical="center"/>
    </xf>
    <xf numFmtId="0" fontId="54" fillId="14" borderId="58" xfId="6" applyFont="1" applyFill="1" applyBorder="1" applyAlignment="1">
      <alignment horizontal="center" vertical="center"/>
    </xf>
    <xf numFmtId="0" fontId="54" fillId="14" borderId="61" xfId="6" applyFont="1" applyFill="1" applyBorder="1" applyAlignment="1">
      <alignment horizontal="center" vertical="center"/>
    </xf>
    <xf numFmtId="0" fontId="54" fillId="14" borderId="62" xfId="6" applyFont="1" applyFill="1" applyBorder="1" applyAlignment="1">
      <alignment horizontal="center" vertical="center"/>
    </xf>
    <xf numFmtId="0" fontId="54" fillId="14" borderId="63" xfId="6" applyFont="1" applyFill="1" applyBorder="1" applyAlignment="1">
      <alignment horizontal="center" vertical="center"/>
    </xf>
    <xf numFmtId="0" fontId="54" fillId="14" borderId="31" xfId="6" applyFont="1" applyFill="1" applyBorder="1" applyAlignment="1">
      <alignment horizontal="center" vertical="center"/>
    </xf>
    <xf numFmtId="0" fontId="54" fillId="0" borderId="4" xfId="6" applyFont="1" applyBorder="1" applyAlignment="1">
      <alignment horizontal="center" vertical="center" wrapText="1"/>
    </xf>
    <xf numFmtId="0" fontId="54" fillId="4" borderId="7" xfId="0" applyFont="1" applyFill="1" applyBorder="1" applyAlignment="1">
      <alignment horizontal="center" vertical="center"/>
    </xf>
    <xf numFmtId="0" fontId="54" fillId="4" borderId="33" xfId="0" applyFont="1" applyFill="1" applyBorder="1" applyAlignment="1">
      <alignment horizontal="center" vertical="center"/>
    </xf>
    <xf numFmtId="0" fontId="54" fillId="4" borderId="10" xfId="0" applyFont="1" applyFill="1" applyBorder="1" applyAlignment="1">
      <alignment horizontal="center" vertical="center"/>
    </xf>
    <xf numFmtId="0" fontId="54" fillId="4" borderId="35" xfId="0" applyFont="1" applyFill="1" applyBorder="1" applyAlignment="1">
      <alignment horizontal="center" vertical="center"/>
    </xf>
    <xf numFmtId="0" fontId="54" fillId="4" borderId="4" xfId="0" applyFont="1" applyFill="1" applyBorder="1" applyAlignment="1">
      <alignment horizontal="center" vertical="center"/>
    </xf>
    <xf numFmtId="0" fontId="54" fillId="4" borderId="1" xfId="0" applyFont="1" applyFill="1" applyBorder="1" applyAlignment="1">
      <alignment horizontal="center" vertical="center"/>
    </xf>
    <xf numFmtId="0" fontId="72" fillId="0" borderId="0" xfId="0" applyFont="1" applyAlignment="1">
      <alignment horizontal="center" vertical="center"/>
    </xf>
    <xf numFmtId="0" fontId="64" fillId="7" borderId="49" xfId="0" applyFont="1" applyFill="1" applyBorder="1" applyAlignment="1">
      <alignment horizontal="center" vertical="center" wrapText="1"/>
    </xf>
    <xf numFmtId="0" fontId="64" fillId="7" borderId="50" xfId="0" applyFont="1" applyFill="1" applyBorder="1" applyAlignment="1">
      <alignment horizontal="center" vertical="center" wrapText="1"/>
    </xf>
    <xf numFmtId="0" fontId="64" fillId="7" borderId="51" xfId="0" applyFont="1" applyFill="1" applyBorder="1" applyAlignment="1">
      <alignment horizontal="center" vertical="center" wrapText="1"/>
    </xf>
    <xf numFmtId="0" fontId="64" fillId="7" borderId="14" xfId="0" applyFont="1" applyFill="1" applyBorder="1" applyAlignment="1">
      <alignment horizontal="center" vertical="center" wrapText="1"/>
    </xf>
    <xf numFmtId="0" fontId="64" fillId="7" borderId="4" xfId="0" applyFont="1" applyFill="1" applyBorder="1" applyAlignment="1">
      <alignment horizontal="center" vertical="center" wrapText="1"/>
    </xf>
    <xf numFmtId="0" fontId="64" fillId="7" borderId="13" xfId="0" applyFont="1" applyFill="1" applyBorder="1" applyAlignment="1">
      <alignment horizontal="center" vertical="center" wrapText="1"/>
    </xf>
    <xf numFmtId="0" fontId="64" fillId="7" borderId="1" xfId="0" applyFont="1" applyFill="1" applyBorder="1" applyAlignment="1">
      <alignment horizontal="center" vertical="center" wrapText="1"/>
    </xf>
    <xf numFmtId="0" fontId="64" fillId="7" borderId="22" xfId="0" applyFont="1" applyFill="1" applyBorder="1" applyAlignment="1">
      <alignment horizontal="center" vertical="center" wrapText="1"/>
    </xf>
    <xf numFmtId="0" fontId="64" fillId="7" borderId="20" xfId="0" applyFont="1" applyFill="1" applyBorder="1" applyAlignment="1">
      <alignment horizontal="center" vertical="center" wrapText="1"/>
    </xf>
    <xf numFmtId="0" fontId="64" fillId="7" borderId="18" xfId="0" applyFont="1" applyFill="1" applyBorder="1" applyAlignment="1">
      <alignment horizontal="right" vertical="center" wrapText="1"/>
    </xf>
    <xf numFmtId="0" fontId="64" fillId="7" borderId="52" xfId="0" applyFont="1" applyFill="1" applyBorder="1" applyAlignment="1">
      <alignment horizontal="right" vertical="center" wrapText="1"/>
    </xf>
    <xf numFmtId="0" fontId="64" fillId="7" borderId="15" xfId="0" applyFont="1" applyFill="1" applyBorder="1" applyAlignment="1">
      <alignment horizontal="right" vertical="center" wrapText="1"/>
    </xf>
    <xf numFmtId="0" fontId="64" fillId="7" borderId="5" xfId="0" applyFont="1" applyFill="1" applyBorder="1" applyAlignment="1">
      <alignment horizontal="center" vertical="center" wrapText="1"/>
    </xf>
    <xf numFmtId="0" fontId="64" fillId="7" borderId="54" xfId="0" applyFont="1" applyFill="1" applyBorder="1" applyAlignment="1">
      <alignment horizontal="center" vertical="center" wrapText="1"/>
    </xf>
    <xf numFmtId="0" fontId="64" fillId="7" borderId="55" xfId="0" applyFont="1" applyFill="1" applyBorder="1" applyAlignment="1">
      <alignment horizontal="center" vertical="center" wrapText="1"/>
    </xf>
    <xf numFmtId="0" fontId="56" fillId="7" borderId="1" xfId="0" applyFont="1" applyFill="1" applyBorder="1" applyAlignment="1">
      <alignment horizontal="center" vertical="center" wrapText="1"/>
    </xf>
    <xf numFmtId="0" fontId="56" fillId="7" borderId="20" xfId="0" applyFont="1" applyFill="1" applyBorder="1" applyAlignment="1">
      <alignment horizontal="center" vertical="center"/>
    </xf>
    <xf numFmtId="0" fontId="56" fillId="7" borderId="1" xfId="0" applyFont="1" applyFill="1" applyBorder="1" applyAlignment="1">
      <alignment horizontal="center" vertical="center"/>
    </xf>
    <xf numFmtId="0" fontId="54" fillId="13" borderId="64" xfId="0" applyFont="1" applyFill="1" applyBorder="1" applyAlignment="1">
      <alignment horizontal="center" vertical="center"/>
    </xf>
    <xf numFmtId="0" fontId="54" fillId="13" borderId="65" xfId="0" applyFont="1" applyFill="1" applyBorder="1" applyAlignment="1">
      <alignment horizontal="center" vertical="center"/>
    </xf>
    <xf numFmtId="0" fontId="54" fillId="8" borderId="49" xfId="0" applyFont="1" applyFill="1" applyBorder="1" applyAlignment="1">
      <alignment horizontal="center" vertical="center"/>
    </xf>
    <xf numFmtId="0" fontId="54" fillId="8" borderId="56" xfId="0" applyFont="1" applyFill="1" applyBorder="1" applyAlignment="1">
      <alignment horizontal="center" vertical="center"/>
    </xf>
    <xf numFmtId="0" fontId="64" fillId="7" borderId="27" xfId="0" applyFont="1" applyFill="1" applyBorder="1" applyAlignment="1">
      <alignment horizontal="center" vertical="center" wrapText="1"/>
    </xf>
    <xf numFmtId="0" fontId="64" fillId="7" borderId="28" xfId="0" applyFont="1" applyFill="1" applyBorder="1" applyAlignment="1">
      <alignment horizontal="center" vertical="center" wrapText="1"/>
    </xf>
    <xf numFmtId="0" fontId="64" fillId="7" borderId="11" xfId="0" applyFont="1" applyFill="1" applyBorder="1" applyAlignment="1">
      <alignment horizontal="center" vertical="center" wrapText="1"/>
    </xf>
    <xf numFmtId="0" fontId="64" fillId="7" borderId="24" xfId="0" applyFont="1" applyFill="1" applyBorder="1" applyAlignment="1">
      <alignment horizontal="center" vertical="center" wrapText="1"/>
    </xf>
    <xf numFmtId="0" fontId="64" fillId="7" borderId="25" xfId="0" applyFont="1" applyFill="1" applyBorder="1" applyAlignment="1">
      <alignment horizontal="center" vertical="center" wrapText="1"/>
    </xf>
    <xf numFmtId="0" fontId="64" fillId="7" borderId="26" xfId="0" applyFont="1" applyFill="1" applyBorder="1" applyAlignment="1">
      <alignment horizontal="center" vertical="center" wrapText="1"/>
    </xf>
    <xf numFmtId="0" fontId="74" fillId="0" borderId="0" xfId="6" applyFont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5" fillId="4" borderId="27" xfId="6" applyFont="1" applyFill="1" applyBorder="1" applyAlignment="1">
      <alignment horizontal="center" vertical="center"/>
    </xf>
    <xf numFmtId="0" fontId="35" fillId="4" borderId="28" xfId="6" applyFont="1" applyFill="1" applyBorder="1" applyAlignment="1">
      <alignment horizontal="center" vertical="center"/>
    </xf>
    <xf numFmtId="0" fontId="35" fillId="4" borderId="11" xfId="6" applyFont="1" applyFill="1" applyBorder="1" applyAlignment="1">
      <alignment horizontal="center" vertical="center"/>
    </xf>
    <xf numFmtId="0" fontId="30" fillId="4" borderId="1" xfId="6" applyFont="1" applyFill="1" applyBorder="1" applyAlignment="1">
      <alignment horizontal="center" vertical="center" wrapText="1"/>
    </xf>
    <xf numFmtId="0" fontId="30" fillId="4" borderId="27" xfId="6" applyFont="1" applyFill="1" applyBorder="1" applyAlignment="1">
      <alignment horizontal="center" vertical="center"/>
    </xf>
    <xf numFmtId="0" fontId="30" fillId="4" borderId="28" xfId="6" applyFont="1" applyFill="1" applyBorder="1" applyAlignment="1">
      <alignment horizontal="center" vertical="center"/>
    </xf>
    <xf numFmtId="0" fontId="30" fillId="4" borderId="11" xfId="6" applyFont="1" applyFill="1" applyBorder="1" applyAlignment="1">
      <alignment horizontal="center" vertical="center"/>
    </xf>
    <xf numFmtId="0" fontId="30" fillId="4" borderId="1" xfId="6" applyFont="1" applyFill="1" applyBorder="1" applyAlignment="1">
      <alignment horizontal="center" vertical="center"/>
    </xf>
    <xf numFmtId="0" fontId="16" fillId="0" borderId="40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 wrapText="1"/>
    </xf>
    <xf numFmtId="0" fontId="16" fillId="0" borderId="42" xfId="0" applyFont="1" applyBorder="1" applyAlignment="1">
      <alignment horizontal="center" vertical="center" wrapText="1"/>
    </xf>
    <xf numFmtId="0" fontId="30" fillId="0" borderId="17" xfId="6" applyFont="1" applyBorder="1" applyAlignment="1">
      <alignment horizontal="center" vertical="center" wrapText="1"/>
    </xf>
    <xf numFmtId="0" fontId="30" fillId="0" borderId="29" xfId="6" applyFont="1" applyBorder="1" applyAlignment="1">
      <alignment horizontal="center" vertical="center" wrapText="1"/>
    </xf>
    <xf numFmtId="0" fontId="30" fillId="3" borderId="1" xfId="6" applyFont="1" applyFill="1" applyBorder="1" applyAlignment="1">
      <alignment horizontal="center" vertical="center" wrapText="1"/>
    </xf>
    <xf numFmtId="0" fontId="30" fillId="3" borderId="30" xfId="0" applyFont="1" applyFill="1" applyBorder="1" applyAlignment="1">
      <alignment horizontal="left" vertical="center" wrapText="1"/>
    </xf>
    <xf numFmtId="0" fontId="30" fillId="3" borderId="31" xfId="0" applyFont="1" applyFill="1" applyBorder="1" applyAlignment="1">
      <alignment horizontal="left" vertical="center" wrapText="1"/>
    </xf>
    <xf numFmtId="0" fontId="30" fillId="3" borderId="17" xfId="6" applyFont="1" applyFill="1" applyBorder="1" applyAlignment="1">
      <alignment horizontal="center" vertical="center" wrapText="1"/>
    </xf>
    <xf numFmtId="0" fontId="30" fillId="3" borderId="29" xfId="6" applyFont="1" applyFill="1" applyBorder="1" applyAlignment="1">
      <alignment horizontal="center" vertical="center" wrapText="1"/>
    </xf>
    <xf numFmtId="0" fontId="33" fillId="2" borderId="27" xfId="6" applyFont="1" applyFill="1" applyBorder="1" applyAlignment="1">
      <alignment horizontal="center" vertical="center"/>
    </xf>
    <xf numFmtId="0" fontId="33" fillId="2" borderId="28" xfId="6" applyFont="1" applyFill="1" applyBorder="1" applyAlignment="1">
      <alignment horizontal="center" vertical="center"/>
    </xf>
    <xf numFmtId="0" fontId="33" fillId="2" borderId="11" xfId="6" applyFont="1" applyFill="1" applyBorder="1" applyAlignment="1">
      <alignment horizontal="center" vertical="center"/>
    </xf>
    <xf numFmtId="0" fontId="33" fillId="4" borderId="27" xfId="6" applyFont="1" applyFill="1" applyBorder="1" applyAlignment="1">
      <alignment horizontal="center" vertical="center"/>
    </xf>
    <xf numFmtId="0" fontId="33" fillId="4" borderId="28" xfId="6" applyFont="1" applyFill="1" applyBorder="1" applyAlignment="1">
      <alignment horizontal="center" vertical="center"/>
    </xf>
    <xf numFmtId="0" fontId="33" fillId="4" borderId="11" xfId="6" applyFont="1" applyFill="1" applyBorder="1" applyAlignment="1">
      <alignment horizontal="center" vertical="center"/>
    </xf>
    <xf numFmtId="0" fontId="37" fillId="5" borderId="36" xfId="0" applyFont="1" applyFill="1" applyBorder="1" applyAlignment="1">
      <alignment horizontal="center" vertical="center" wrapText="1"/>
    </xf>
    <xf numFmtId="0" fontId="37" fillId="5" borderId="37" xfId="0" applyFont="1" applyFill="1" applyBorder="1" applyAlignment="1">
      <alignment horizontal="center" vertical="center" wrapText="1"/>
    </xf>
    <xf numFmtId="0" fontId="35" fillId="5" borderId="38" xfId="6" applyFont="1" applyFill="1" applyBorder="1" applyAlignment="1">
      <alignment horizontal="center" vertical="center"/>
    </xf>
    <xf numFmtId="0" fontId="38" fillId="5" borderId="39" xfId="0" applyFont="1" applyFill="1" applyBorder="1">
      <alignment vertical="center"/>
    </xf>
    <xf numFmtId="0" fontId="38" fillId="5" borderId="37" xfId="0" applyFont="1" applyFill="1" applyBorder="1">
      <alignment vertical="center"/>
    </xf>
    <xf numFmtId="0" fontId="29" fillId="0" borderId="32" xfId="0" applyFont="1" applyBorder="1" applyAlignment="1">
      <alignment horizontal="center" vertical="center" wrapText="1"/>
    </xf>
    <xf numFmtId="0" fontId="29" fillId="0" borderId="33" xfId="0" applyFont="1" applyBorder="1" applyAlignment="1">
      <alignment horizontal="center" vertical="center" wrapText="1"/>
    </xf>
    <xf numFmtId="0" fontId="29" fillId="0" borderId="34" xfId="0" applyFont="1" applyBorder="1" applyAlignment="1">
      <alignment horizontal="center" vertical="center" wrapText="1"/>
    </xf>
    <xf numFmtId="0" fontId="29" fillId="0" borderId="35" xfId="0" applyFont="1" applyBorder="1" applyAlignment="1">
      <alignment horizontal="center" vertical="center" wrapText="1"/>
    </xf>
    <xf numFmtId="0" fontId="30" fillId="0" borderId="4" xfId="6" applyFont="1" applyBorder="1" applyAlignment="1">
      <alignment horizontal="center" vertical="center" wrapText="1"/>
    </xf>
    <xf numFmtId="0" fontId="30" fillId="0" borderId="1" xfId="6" applyFont="1" applyBorder="1" applyAlignment="1">
      <alignment horizontal="center" vertical="center" wrapText="1"/>
    </xf>
    <xf numFmtId="0" fontId="30" fillId="4" borderId="7" xfId="0" applyFont="1" applyFill="1" applyBorder="1" applyAlignment="1">
      <alignment horizontal="center" vertical="center"/>
    </xf>
    <xf numFmtId="0" fontId="30" fillId="4" borderId="33" xfId="0" applyFont="1" applyFill="1" applyBorder="1" applyAlignment="1">
      <alignment horizontal="center" vertical="center"/>
    </xf>
    <xf numFmtId="0" fontId="30" fillId="4" borderId="10" xfId="0" applyFont="1" applyFill="1" applyBorder="1" applyAlignment="1">
      <alignment horizontal="center" vertical="center"/>
    </xf>
    <xf numFmtId="0" fontId="30" fillId="4" borderId="35" xfId="0" applyFont="1" applyFill="1" applyBorder="1" applyAlignment="1">
      <alignment horizontal="center" vertical="center"/>
    </xf>
    <xf numFmtId="0" fontId="30" fillId="4" borderId="4" xfId="0" applyFont="1" applyFill="1" applyBorder="1" applyAlignment="1">
      <alignment horizontal="center" vertical="center"/>
    </xf>
    <xf numFmtId="0" fontId="30" fillId="4" borderId="1" xfId="0" applyFont="1" applyFill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16" fillId="7" borderId="49" xfId="0" applyFont="1" applyFill="1" applyBorder="1" applyAlignment="1">
      <alignment horizontal="center" vertical="center" wrapText="1"/>
    </xf>
    <xf numFmtId="0" fontId="16" fillId="7" borderId="50" xfId="0" applyFont="1" applyFill="1" applyBorder="1" applyAlignment="1">
      <alignment horizontal="center" vertical="center" wrapText="1"/>
    </xf>
    <xf numFmtId="0" fontId="16" fillId="7" borderId="51" xfId="0" applyFont="1" applyFill="1" applyBorder="1" applyAlignment="1">
      <alignment horizontal="center" vertical="center" wrapText="1"/>
    </xf>
    <xf numFmtId="0" fontId="29" fillId="7" borderId="14" xfId="0" applyFont="1" applyFill="1" applyBorder="1" applyAlignment="1">
      <alignment horizontal="center" vertical="center" wrapText="1"/>
    </xf>
    <xf numFmtId="0" fontId="29" fillId="7" borderId="4" xfId="0" applyFont="1" applyFill="1" applyBorder="1" applyAlignment="1">
      <alignment horizontal="center" vertical="center" wrapText="1"/>
    </xf>
    <xf numFmtId="0" fontId="29" fillId="7" borderId="13" xfId="0" applyFont="1" applyFill="1" applyBorder="1" applyAlignment="1">
      <alignment horizontal="center" vertical="center" wrapText="1"/>
    </xf>
    <xf numFmtId="0" fontId="29" fillId="7" borderId="1" xfId="0" applyFont="1" applyFill="1" applyBorder="1" applyAlignment="1">
      <alignment horizontal="center" vertical="center" wrapText="1"/>
    </xf>
    <xf numFmtId="0" fontId="29" fillId="7" borderId="22" xfId="0" applyFont="1" applyFill="1" applyBorder="1" applyAlignment="1">
      <alignment horizontal="center" vertical="center" wrapText="1"/>
    </xf>
    <xf numFmtId="0" fontId="29" fillId="7" borderId="20" xfId="0" applyFont="1" applyFill="1" applyBorder="1" applyAlignment="1">
      <alignment horizontal="center" vertical="center" wrapText="1"/>
    </xf>
    <xf numFmtId="0" fontId="29" fillId="7" borderId="18" xfId="0" applyFont="1" applyFill="1" applyBorder="1" applyAlignment="1">
      <alignment horizontal="right" vertical="center" wrapText="1"/>
    </xf>
    <xf numFmtId="0" fontId="29" fillId="7" borderId="52" xfId="0" applyFont="1" applyFill="1" applyBorder="1" applyAlignment="1">
      <alignment horizontal="right" vertical="center" wrapText="1"/>
    </xf>
    <xf numFmtId="0" fontId="29" fillId="7" borderId="15" xfId="0" applyFont="1" applyFill="1" applyBorder="1" applyAlignment="1">
      <alignment horizontal="right" vertical="center" wrapText="1"/>
    </xf>
    <xf numFmtId="0" fontId="29" fillId="7" borderId="5" xfId="0" applyFont="1" applyFill="1" applyBorder="1" applyAlignment="1">
      <alignment horizontal="center" vertical="center" wrapText="1"/>
    </xf>
    <xf numFmtId="0" fontId="29" fillId="7" borderId="2" xfId="0" applyFont="1" applyFill="1" applyBorder="1" applyAlignment="1">
      <alignment horizontal="center" vertical="center" wrapText="1"/>
    </xf>
    <xf numFmtId="0" fontId="29" fillId="7" borderId="23" xfId="0" applyFont="1" applyFill="1" applyBorder="1" applyAlignment="1">
      <alignment horizontal="center" vertical="center" wrapText="1"/>
    </xf>
    <xf numFmtId="0" fontId="30" fillId="7" borderId="1" xfId="0" applyFont="1" applyFill="1" applyBorder="1" applyAlignment="1">
      <alignment horizontal="center" vertical="center"/>
    </xf>
    <xf numFmtId="0" fontId="30" fillId="7" borderId="20" xfId="0" applyFont="1" applyFill="1" applyBorder="1" applyAlignment="1">
      <alignment horizontal="center" vertical="center"/>
    </xf>
    <xf numFmtId="0" fontId="29" fillId="7" borderId="24" xfId="0" applyFont="1" applyFill="1" applyBorder="1" applyAlignment="1">
      <alignment horizontal="center" vertical="center" wrapText="1"/>
    </xf>
    <xf numFmtId="0" fontId="29" fillId="7" borderId="25" xfId="0" applyFont="1" applyFill="1" applyBorder="1" applyAlignment="1">
      <alignment horizontal="center" vertical="center" wrapText="1"/>
    </xf>
    <xf numFmtId="0" fontId="29" fillId="7" borderId="26" xfId="0" applyFont="1" applyFill="1" applyBorder="1" applyAlignment="1">
      <alignment horizontal="center" vertical="center" wrapText="1"/>
    </xf>
    <xf numFmtId="0" fontId="77" fillId="0" borderId="0" xfId="0" applyFont="1" applyAlignment="1">
      <alignment horizontal="justify" vertical="center"/>
    </xf>
    <xf numFmtId="0" fontId="0" fillId="0" borderId="0" xfId="0" applyAlignment="1">
      <alignment vertical="center"/>
    </xf>
    <xf numFmtId="0" fontId="75" fillId="0" borderId="0" xfId="6" applyFont="1" applyAlignment="1">
      <alignment horizontal="center" vertical="center"/>
    </xf>
    <xf numFmtId="0" fontId="0" fillId="0" borderId="0" xfId="6" applyFont="1" applyAlignment="1">
      <alignment horizontal="left" vertical="center"/>
    </xf>
    <xf numFmtId="0" fontId="9" fillId="0" borderId="0" xfId="6" applyAlignment="1">
      <alignment horizontal="left" vertical="center"/>
    </xf>
    <xf numFmtId="0" fontId="14" fillId="0" borderId="27" xfId="6" applyFont="1" applyBorder="1" applyAlignment="1">
      <alignment horizontal="center" vertical="center"/>
    </xf>
    <xf numFmtId="0" fontId="14" fillId="0" borderId="11" xfId="6" applyFont="1" applyBorder="1" applyAlignment="1">
      <alignment horizontal="center" vertical="center"/>
    </xf>
    <xf numFmtId="0" fontId="9" fillId="0" borderId="0" xfId="6" quotePrefix="1" applyAlignment="1">
      <alignment horizontal="left" vertical="center"/>
    </xf>
    <xf numFmtId="0" fontId="0" fillId="0" borderId="0" xfId="6" quotePrefix="1" applyFont="1" applyAlignment="1">
      <alignment horizontal="left" vertical="center"/>
    </xf>
    <xf numFmtId="0" fontId="14" fillId="7" borderId="1" xfId="6" applyFont="1" applyFill="1" applyBorder="1" applyAlignment="1">
      <alignment horizontal="center" vertical="center"/>
    </xf>
    <xf numFmtId="0" fontId="9" fillId="0" borderId="1" xfId="6" applyBorder="1" applyAlignment="1">
      <alignment horizontal="center" vertical="center"/>
    </xf>
    <xf numFmtId="0" fontId="14" fillId="0" borderId="1" xfId="6" applyFont="1" applyBorder="1" applyAlignment="1">
      <alignment horizontal="center" vertical="center"/>
    </xf>
    <xf numFmtId="0" fontId="0" fillId="0" borderId="1" xfId="6" applyFont="1" applyBorder="1" applyAlignment="1">
      <alignment horizontal="center" vertical="center" wrapText="1"/>
    </xf>
    <xf numFmtId="178" fontId="14" fillId="0" borderId="27" xfId="6" applyNumberFormat="1" applyFont="1" applyBorder="1" applyAlignment="1">
      <alignment horizontal="center" vertical="center"/>
    </xf>
    <xf numFmtId="178" fontId="14" fillId="0" borderId="11" xfId="6" applyNumberFormat="1" applyFont="1" applyBorder="1" applyAlignment="1">
      <alignment horizontal="center" vertical="center"/>
    </xf>
    <xf numFmtId="0" fontId="14" fillId="0" borderId="19" xfId="6" applyFont="1" applyBorder="1" applyAlignment="1">
      <alignment horizontal="center" vertical="center" wrapText="1"/>
    </xf>
    <xf numFmtId="0" fontId="14" fillId="0" borderId="16" xfId="6" applyFont="1" applyBorder="1" applyAlignment="1">
      <alignment horizontal="center" vertical="center" wrapText="1"/>
    </xf>
    <xf numFmtId="0" fontId="14" fillId="0" borderId="45" xfId="6" applyFont="1" applyBorder="1" applyAlignment="1">
      <alignment horizontal="center" vertical="center" wrapText="1"/>
    </xf>
    <xf numFmtId="0" fontId="14" fillId="0" borderId="12" xfId="6" applyFont="1" applyBorder="1" applyAlignment="1">
      <alignment horizontal="center" vertical="center" wrapText="1"/>
    </xf>
    <xf numFmtId="178" fontId="14" fillId="0" borderId="1" xfId="6" applyNumberFormat="1" applyFont="1" applyBorder="1" applyAlignment="1">
      <alignment horizontal="center" vertical="center"/>
    </xf>
    <xf numFmtId="0" fontId="26" fillId="0" borderId="19" xfId="0" applyFont="1" applyBorder="1" applyAlignment="1">
      <alignment horizontal="center" vertical="center"/>
    </xf>
    <xf numFmtId="0" fontId="26" fillId="0" borderId="44" xfId="0" applyFont="1" applyBorder="1" applyAlignment="1">
      <alignment horizontal="center" vertical="center"/>
    </xf>
    <xf numFmtId="0" fontId="26" fillId="0" borderId="45" xfId="0" applyFont="1" applyBorder="1" applyAlignment="1">
      <alignment horizontal="center" vertical="center"/>
    </xf>
    <xf numFmtId="0" fontId="26" fillId="0" borderId="21" xfId="0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/>
    </xf>
    <xf numFmtId="0" fontId="42" fillId="0" borderId="0" xfId="0" applyFont="1" applyBorder="1" applyAlignment="1">
      <alignment horizontal="center" vertical="center"/>
    </xf>
    <xf numFmtId="0" fontId="42" fillId="0" borderId="21" xfId="0" applyFont="1" applyBorder="1" applyAlignment="1">
      <alignment horizontal="center" vertical="center"/>
    </xf>
    <xf numFmtId="0" fontId="26" fillId="7" borderId="1" xfId="0" applyFont="1" applyFill="1" applyBorder="1" applyAlignment="1">
      <alignment horizontal="center" vertical="center"/>
    </xf>
    <xf numFmtId="0" fontId="26" fillId="7" borderId="44" xfId="0" applyFont="1" applyFill="1" applyBorder="1" applyAlignment="1">
      <alignment horizontal="center" vertical="center"/>
    </xf>
    <xf numFmtId="0" fontId="26" fillId="7" borderId="16" xfId="0" applyFont="1" applyFill="1" applyBorder="1" applyAlignment="1">
      <alignment horizontal="center" vertical="center"/>
    </xf>
    <xf numFmtId="0" fontId="26" fillId="7" borderId="21" xfId="0" applyFont="1" applyFill="1" applyBorder="1" applyAlignment="1">
      <alignment horizontal="center" vertical="center"/>
    </xf>
    <xf numFmtId="0" fontId="26" fillId="7" borderId="12" xfId="0" applyFont="1" applyFill="1" applyBorder="1" applyAlignment="1">
      <alignment horizontal="center" vertical="center"/>
    </xf>
    <xf numFmtId="0" fontId="26" fillId="7" borderId="17" xfId="0" applyFont="1" applyFill="1" applyBorder="1" applyAlignment="1">
      <alignment horizontal="center" vertical="center"/>
    </xf>
    <xf numFmtId="0" fontId="26" fillId="7" borderId="29" xfId="0" applyFont="1" applyFill="1" applyBorder="1" applyAlignment="1">
      <alignment horizontal="center" vertical="center"/>
    </xf>
    <xf numFmtId="0" fontId="26" fillId="7" borderId="8" xfId="0" applyFont="1" applyFill="1" applyBorder="1" applyAlignment="1">
      <alignment horizontal="center" vertical="center"/>
    </xf>
    <xf numFmtId="0" fontId="26" fillId="0" borderId="27" xfId="0" applyFont="1" applyBorder="1" applyAlignment="1">
      <alignment horizontal="center" vertical="center"/>
    </xf>
    <xf numFmtId="0" fontId="26" fillId="0" borderId="28" xfId="0" applyFont="1" applyBorder="1" applyAlignment="1">
      <alignment horizontal="center" vertical="center"/>
    </xf>
    <xf numFmtId="0" fontId="26" fillId="0" borderId="11" xfId="0" applyFont="1" applyBorder="1" applyAlignment="1">
      <alignment horizontal="center" vertical="center"/>
    </xf>
    <xf numFmtId="0" fontId="26" fillId="0" borderId="27" xfId="0" applyFont="1" applyBorder="1" applyAlignment="1">
      <alignment horizontal="center" vertical="center" wrapText="1"/>
    </xf>
    <xf numFmtId="0" fontId="26" fillId="0" borderId="28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0" fontId="42" fillId="0" borderId="10" xfId="0" applyFont="1" applyBorder="1" applyAlignment="1">
      <alignment horizontal="center" vertical="center"/>
    </xf>
    <xf numFmtId="0" fontId="42" fillId="0" borderId="45" xfId="0" applyFont="1" applyBorder="1" applyAlignment="1">
      <alignment horizontal="center" vertical="center"/>
    </xf>
    <xf numFmtId="0" fontId="43" fillId="0" borderId="0" xfId="0" applyFont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38" fillId="0" borderId="17" xfId="0" applyFont="1" applyBorder="1" applyAlignment="1">
      <alignment horizontal="center" vertical="center"/>
    </xf>
    <xf numFmtId="0" fontId="38" fillId="0" borderId="8" xfId="0" applyFont="1" applyBorder="1" applyAlignment="1">
      <alignment horizontal="center" vertical="center"/>
    </xf>
    <xf numFmtId="0" fontId="26" fillId="0" borderId="16" xfId="0" applyFont="1" applyBorder="1" applyAlignment="1">
      <alignment horizontal="center" vertical="center"/>
    </xf>
    <xf numFmtId="0" fontId="26" fillId="0" borderId="12" xfId="0" applyFont="1" applyBorder="1" applyAlignment="1">
      <alignment horizontal="center" vertical="center"/>
    </xf>
    <xf numFmtId="0" fontId="26" fillId="0" borderId="8" xfId="0" applyFont="1" applyBorder="1" applyAlignment="1">
      <alignment horizontal="center" vertical="center"/>
    </xf>
    <xf numFmtId="0" fontId="38" fillId="0" borderId="19" xfId="0" applyFont="1" applyBorder="1" applyAlignment="1">
      <alignment horizontal="center" vertical="center"/>
    </xf>
    <xf numFmtId="0" fontId="38" fillId="0" borderId="44" xfId="0" applyFont="1" applyBorder="1" applyAlignment="1">
      <alignment horizontal="center" vertical="center"/>
    </xf>
    <xf numFmtId="0" fontId="38" fillId="0" borderId="16" xfId="0" applyFont="1" applyBorder="1" applyAlignment="1">
      <alignment horizontal="center" vertical="center"/>
    </xf>
    <xf numFmtId="0" fontId="38" fillId="0" borderId="45" xfId="0" applyFont="1" applyBorder="1" applyAlignment="1">
      <alignment horizontal="center" vertical="center"/>
    </xf>
    <xf numFmtId="0" fontId="38" fillId="0" borderId="21" xfId="0" applyFont="1" applyBorder="1" applyAlignment="1">
      <alignment horizontal="center" vertical="center"/>
    </xf>
    <xf numFmtId="0" fontId="38" fillId="0" borderId="12" xfId="0" applyFont="1" applyBorder="1" applyAlignment="1">
      <alignment horizontal="center" vertical="center"/>
    </xf>
    <xf numFmtId="0" fontId="38" fillId="0" borderId="10" xfId="0" applyFont="1" applyBorder="1" applyAlignment="1">
      <alignment horizontal="center" vertical="center"/>
    </xf>
    <xf numFmtId="0" fontId="45" fillId="3" borderId="0" xfId="0" applyFont="1" applyFill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6" fillId="0" borderId="0" xfId="0" applyFont="1" applyBorder="1" applyAlignment="1">
      <alignment horizontal="center" vertical="center"/>
    </xf>
    <xf numFmtId="0" fontId="26" fillId="0" borderId="35" xfId="0" applyFont="1" applyBorder="1" applyAlignment="1">
      <alignment horizontal="center" vertical="center"/>
    </xf>
    <xf numFmtId="0" fontId="46" fillId="0" borderId="1" xfId="0" applyFont="1" applyBorder="1" applyAlignment="1">
      <alignment horizontal="center" vertical="center"/>
    </xf>
    <xf numFmtId="0" fontId="46" fillId="0" borderId="43" xfId="0" applyFont="1" applyBorder="1" applyAlignment="1">
      <alignment horizontal="center" vertical="center"/>
    </xf>
    <xf numFmtId="0" fontId="46" fillId="0" borderId="19" xfId="0" applyFont="1" applyBorder="1" applyAlignment="1">
      <alignment horizontal="center" vertical="center"/>
    </xf>
    <xf numFmtId="0" fontId="46" fillId="0" borderId="46" xfId="0" applyFont="1" applyBorder="1" applyAlignment="1">
      <alignment horizontal="center" vertical="center"/>
    </xf>
    <xf numFmtId="0" fontId="46" fillId="0" borderId="44" xfId="0" applyFont="1" applyBorder="1" applyAlignment="1">
      <alignment horizontal="center" vertical="center"/>
    </xf>
    <xf numFmtId="0" fontId="46" fillId="0" borderId="16" xfId="0" applyFont="1" applyBorder="1" applyAlignment="1">
      <alignment horizontal="center" vertical="center"/>
    </xf>
    <xf numFmtId="0" fontId="46" fillId="0" borderId="47" xfId="0" applyFont="1" applyBorder="1" applyAlignment="1">
      <alignment horizontal="center" vertical="center"/>
    </xf>
    <xf numFmtId="0" fontId="46" fillId="0" borderId="48" xfId="0" applyFont="1" applyBorder="1" applyAlignment="1">
      <alignment horizontal="center" vertical="center"/>
    </xf>
    <xf numFmtId="0" fontId="25" fillId="0" borderId="21" xfId="0" applyFont="1" applyBorder="1" applyAlignment="1">
      <alignment horizontal="center" vertical="center"/>
    </xf>
    <xf numFmtId="0" fontId="22" fillId="0" borderId="0" xfId="0" applyFont="1" applyFill="1" applyAlignment="1">
      <alignment horizontal="left" vertical="center" wrapText="1"/>
    </xf>
    <xf numFmtId="9" fontId="22" fillId="0" borderId="0" xfId="8" quotePrefix="1" applyFont="1" applyFill="1" applyBorder="1" applyAlignment="1">
      <alignment horizontal="left" vertical="center" wrapText="1"/>
    </xf>
    <xf numFmtId="9" fontId="22" fillId="0" borderId="0" xfId="8" applyFont="1" applyFill="1" applyBorder="1" applyAlignment="1">
      <alignment horizontal="left" vertical="center"/>
    </xf>
  </cellXfs>
  <cellStyles count="17">
    <cellStyle name="백분율" xfId="8" builtinId="5"/>
    <cellStyle name="백분율 2 2" xfId="1"/>
    <cellStyle name="백분율 2 3 2" xfId="14"/>
    <cellStyle name="쉼표 [0]" xfId="2" builtinId="6"/>
    <cellStyle name="쉼표 [0] 2" xfId="3"/>
    <cellStyle name="쉼표 [0] 2 2" xfId="10"/>
    <cellStyle name="쉼표 [0] 2 2 2" xfId="4"/>
    <cellStyle name="쉼표 [0] 2 2 2 2" xfId="11"/>
    <cellStyle name="쉼표 [0] 2 2_설계내역서(최종)" xfId="5"/>
    <cellStyle name="쉼표 [0] 2 3 2 2 2" xfId="13"/>
    <cellStyle name="쉼표 [0] 3" xfId="9"/>
    <cellStyle name="쉼표 [0] 4 5 2" xfId="16"/>
    <cellStyle name="표준" xfId="0" builtinId="0"/>
    <cellStyle name="표준 2 2 7" xfId="12"/>
    <cellStyle name="표준 3" xfId="6"/>
    <cellStyle name="표준 5 4" xfId="15"/>
    <cellStyle name="표준 7" xfId="7"/>
  </cellStyles>
  <dxfs count="0"/>
  <tableStyles count="0" defaultTableStyle="TableStyleMedium9" defaultPivotStyle="PivotStyleLight16"/>
  <colors>
    <mruColors>
      <color rgb="FFFFFFCC"/>
      <color rgb="FFFFFF66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14"/>
  <sheetViews>
    <sheetView tabSelected="1" zoomScaleNormal="100" workbookViewId="0">
      <selection activeCell="F6" sqref="F6"/>
    </sheetView>
  </sheetViews>
  <sheetFormatPr defaultRowHeight="13.5"/>
  <cols>
    <col min="1" max="1" width="6.375" style="260" customWidth="1"/>
    <col min="2" max="2" width="6.625" style="260" customWidth="1"/>
    <col min="3" max="3" width="9" style="260"/>
    <col min="4" max="4" width="6.125" style="260" customWidth="1"/>
    <col min="5" max="6" width="19.125" style="260" customWidth="1"/>
    <col min="7" max="7" width="16.875" style="260" customWidth="1"/>
    <col min="8" max="8" width="10.125" style="260" customWidth="1"/>
    <col min="9" max="9" width="9" style="260"/>
    <col min="10" max="10" width="20.625" style="260" customWidth="1"/>
    <col min="11" max="256" width="9" style="260"/>
    <col min="257" max="257" width="6.375" style="260" customWidth="1"/>
    <col min="258" max="258" width="6.625" style="260" customWidth="1"/>
    <col min="259" max="259" width="9" style="260"/>
    <col min="260" max="260" width="6.125" style="260" customWidth="1"/>
    <col min="261" max="263" width="17.75" style="260" customWidth="1"/>
    <col min="264" max="512" width="9" style="260"/>
    <col min="513" max="513" width="6.375" style="260" customWidth="1"/>
    <col min="514" max="514" width="6.625" style="260" customWidth="1"/>
    <col min="515" max="515" width="9" style="260"/>
    <col min="516" max="516" width="6.125" style="260" customWidth="1"/>
    <col min="517" max="519" width="17.75" style="260" customWidth="1"/>
    <col min="520" max="768" width="9" style="260"/>
    <col min="769" max="769" width="6.375" style="260" customWidth="1"/>
    <col min="770" max="770" width="6.625" style="260" customWidth="1"/>
    <col min="771" max="771" width="9" style="260"/>
    <col min="772" max="772" width="6.125" style="260" customWidth="1"/>
    <col min="773" max="775" width="17.75" style="260" customWidth="1"/>
    <col min="776" max="1024" width="9" style="260"/>
    <col min="1025" max="1025" width="6.375" style="260" customWidth="1"/>
    <col min="1026" max="1026" width="6.625" style="260" customWidth="1"/>
    <col min="1027" max="1027" width="9" style="260"/>
    <col min="1028" max="1028" width="6.125" style="260" customWidth="1"/>
    <col min="1029" max="1031" width="17.75" style="260" customWidth="1"/>
    <col min="1032" max="1280" width="9" style="260"/>
    <col min="1281" max="1281" width="6.375" style="260" customWidth="1"/>
    <col min="1282" max="1282" width="6.625" style="260" customWidth="1"/>
    <col min="1283" max="1283" width="9" style="260"/>
    <col min="1284" max="1284" width="6.125" style="260" customWidth="1"/>
    <col min="1285" max="1287" width="17.75" style="260" customWidth="1"/>
    <col min="1288" max="1536" width="9" style="260"/>
    <col min="1537" max="1537" width="6.375" style="260" customWidth="1"/>
    <col min="1538" max="1538" width="6.625" style="260" customWidth="1"/>
    <col min="1539" max="1539" width="9" style="260"/>
    <col min="1540" max="1540" width="6.125" style="260" customWidth="1"/>
    <col min="1541" max="1543" width="17.75" style="260" customWidth="1"/>
    <col min="1544" max="1792" width="9" style="260"/>
    <col min="1793" max="1793" width="6.375" style="260" customWidth="1"/>
    <col min="1794" max="1794" width="6.625" style="260" customWidth="1"/>
    <col min="1795" max="1795" width="9" style="260"/>
    <col min="1796" max="1796" width="6.125" style="260" customWidth="1"/>
    <col min="1797" max="1799" width="17.75" style="260" customWidth="1"/>
    <col min="1800" max="2048" width="9" style="260"/>
    <col min="2049" max="2049" width="6.375" style="260" customWidth="1"/>
    <col min="2050" max="2050" width="6.625" style="260" customWidth="1"/>
    <col min="2051" max="2051" width="9" style="260"/>
    <col min="2052" max="2052" width="6.125" style="260" customWidth="1"/>
    <col min="2053" max="2055" width="17.75" style="260" customWidth="1"/>
    <col min="2056" max="2304" width="9" style="260"/>
    <col min="2305" max="2305" width="6.375" style="260" customWidth="1"/>
    <col min="2306" max="2306" width="6.625" style="260" customWidth="1"/>
    <col min="2307" max="2307" width="9" style="260"/>
    <col min="2308" max="2308" width="6.125" style="260" customWidth="1"/>
    <col min="2309" max="2311" width="17.75" style="260" customWidth="1"/>
    <col min="2312" max="2560" width="9" style="260"/>
    <col min="2561" max="2561" width="6.375" style="260" customWidth="1"/>
    <col min="2562" max="2562" width="6.625" style="260" customWidth="1"/>
    <col min="2563" max="2563" width="9" style="260"/>
    <col min="2564" max="2564" width="6.125" style="260" customWidth="1"/>
    <col min="2565" max="2567" width="17.75" style="260" customWidth="1"/>
    <col min="2568" max="2816" width="9" style="260"/>
    <col min="2817" max="2817" width="6.375" style="260" customWidth="1"/>
    <col min="2818" max="2818" width="6.625" style="260" customWidth="1"/>
    <col min="2819" max="2819" width="9" style="260"/>
    <col min="2820" max="2820" width="6.125" style="260" customWidth="1"/>
    <col min="2821" max="2823" width="17.75" style="260" customWidth="1"/>
    <col min="2824" max="3072" width="9" style="260"/>
    <col min="3073" max="3073" width="6.375" style="260" customWidth="1"/>
    <col min="3074" max="3074" width="6.625" style="260" customWidth="1"/>
    <col min="3075" max="3075" width="9" style="260"/>
    <col min="3076" max="3076" width="6.125" style="260" customWidth="1"/>
    <col min="3077" max="3079" width="17.75" style="260" customWidth="1"/>
    <col min="3080" max="3328" width="9" style="260"/>
    <col min="3329" max="3329" width="6.375" style="260" customWidth="1"/>
    <col min="3330" max="3330" width="6.625" style="260" customWidth="1"/>
    <col min="3331" max="3331" width="9" style="260"/>
    <col min="3332" max="3332" width="6.125" style="260" customWidth="1"/>
    <col min="3333" max="3335" width="17.75" style="260" customWidth="1"/>
    <col min="3336" max="3584" width="9" style="260"/>
    <col min="3585" max="3585" width="6.375" style="260" customWidth="1"/>
    <col min="3586" max="3586" width="6.625" style="260" customWidth="1"/>
    <col min="3587" max="3587" width="9" style="260"/>
    <col min="3588" max="3588" width="6.125" style="260" customWidth="1"/>
    <col min="3589" max="3591" width="17.75" style="260" customWidth="1"/>
    <col min="3592" max="3840" width="9" style="260"/>
    <col min="3841" max="3841" width="6.375" style="260" customWidth="1"/>
    <col min="3842" max="3842" width="6.625" style="260" customWidth="1"/>
    <col min="3843" max="3843" width="9" style="260"/>
    <col min="3844" max="3844" width="6.125" style="260" customWidth="1"/>
    <col min="3845" max="3847" width="17.75" style="260" customWidth="1"/>
    <col min="3848" max="4096" width="9" style="260"/>
    <col min="4097" max="4097" width="6.375" style="260" customWidth="1"/>
    <col min="4098" max="4098" width="6.625" style="260" customWidth="1"/>
    <col min="4099" max="4099" width="9" style="260"/>
    <col min="4100" max="4100" width="6.125" style="260" customWidth="1"/>
    <col min="4101" max="4103" width="17.75" style="260" customWidth="1"/>
    <col min="4104" max="4352" width="9" style="260"/>
    <col min="4353" max="4353" width="6.375" style="260" customWidth="1"/>
    <col min="4354" max="4354" width="6.625" style="260" customWidth="1"/>
    <col min="4355" max="4355" width="9" style="260"/>
    <col min="4356" max="4356" width="6.125" style="260" customWidth="1"/>
    <col min="4357" max="4359" width="17.75" style="260" customWidth="1"/>
    <col min="4360" max="4608" width="9" style="260"/>
    <col min="4609" max="4609" width="6.375" style="260" customWidth="1"/>
    <col min="4610" max="4610" width="6.625" style="260" customWidth="1"/>
    <col min="4611" max="4611" width="9" style="260"/>
    <col min="4612" max="4612" width="6.125" style="260" customWidth="1"/>
    <col min="4613" max="4615" width="17.75" style="260" customWidth="1"/>
    <col min="4616" max="4864" width="9" style="260"/>
    <col min="4865" max="4865" width="6.375" style="260" customWidth="1"/>
    <col min="4866" max="4866" width="6.625" style="260" customWidth="1"/>
    <col min="4867" max="4867" width="9" style="260"/>
    <col min="4868" max="4868" width="6.125" style="260" customWidth="1"/>
    <col min="4869" max="4871" width="17.75" style="260" customWidth="1"/>
    <col min="4872" max="5120" width="9" style="260"/>
    <col min="5121" max="5121" width="6.375" style="260" customWidth="1"/>
    <col min="5122" max="5122" width="6.625" style="260" customWidth="1"/>
    <col min="5123" max="5123" width="9" style="260"/>
    <col min="5124" max="5124" width="6.125" style="260" customWidth="1"/>
    <col min="5125" max="5127" width="17.75" style="260" customWidth="1"/>
    <col min="5128" max="5376" width="9" style="260"/>
    <col min="5377" max="5377" width="6.375" style="260" customWidth="1"/>
    <col min="5378" max="5378" width="6.625" style="260" customWidth="1"/>
    <col min="5379" max="5379" width="9" style="260"/>
    <col min="5380" max="5380" width="6.125" style="260" customWidth="1"/>
    <col min="5381" max="5383" width="17.75" style="260" customWidth="1"/>
    <col min="5384" max="5632" width="9" style="260"/>
    <col min="5633" max="5633" width="6.375" style="260" customWidth="1"/>
    <col min="5634" max="5634" width="6.625" style="260" customWidth="1"/>
    <col min="5635" max="5635" width="9" style="260"/>
    <col min="5636" max="5636" width="6.125" style="260" customWidth="1"/>
    <col min="5637" max="5639" width="17.75" style="260" customWidth="1"/>
    <col min="5640" max="5888" width="9" style="260"/>
    <col min="5889" max="5889" width="6.375" style="260" customWidth="1"/>
    <col min="5890" max="5890" width="6.625" style="260" customWidth="1"/>
    <col min="5891" max="5891" width="9" style="260"/>
    <col min="5892" max="5892" width="6.125" style="260" customWidth="1"/>
    <col min="5893" max="5895" width="17.75" style="260" customWidth="1"/>
    <col min="5896" max="6144" width="9" style="260"/>
    <col min="6145" max="6145" width="6.375" style="260" customWidth="1"/>
    <col min="6146" max="6146" width="6.625" style="260" customWidth="1"/>
    <col min="6147" max="6147" width="9" style="260"/>
    <col min="6148" max="6148" width="6.125" style="260" customWidth="1"/>
    <col min="6149" max="6151" width="17.75" style="260" customWidth="1"/>
    <col min="6152" max="6400" width="9" style="260"/>
    <col min="6401" max="6401" width="6.375" style="260" customWidth="1"/>
    <col min="6402" max="6402" width="6.625" style="260" customWidth="1"/>
    <col min="6403" max="6403" width="9" style="260"/>
    <col min="6404" max="6404" width="6.125" style="260" customWidth="1"/>
    <col min="6405" max="6407" width="17.75" style="260" customWidth="1"/>
    <col min="6408" max="6656" width="9" style="260"/>
    <col min="6657" max="6657" width="6.375" style="260" customWidth="1"/>
    <col min="6658" max="6658" width="6.625" style="260" customWidth="1"/>
    <col min="6659" max="6659" width="9" style="260"/>
    <col min="6660" max="6660" width="6.125" style="260" customWidth="1"/>
    <col min="6661" max="6663" width="17.75" style="260" customWidth="1"/>
    <col min="6664" max="6912" width="9" style="260"/>
    <col min="6913" max="6913" width="6.375" style="260" customWidth="1"/>
    <col min="6914" max="6914" width="6.625" style="260" customWidth="1"/>
    <col min="6915" max="6915" width="9" style="260"/>
    <col min="6916" max="6916" width="6.125" style="260" customWidth="1"/>
    <col min="6917" max="6919" width="17.75" style="260" customWidth="1"/>
    <col min="6920" max="7168" width="9" style="260"/>
    <col min="7169" max="7169" width="6.375" style="260" customWidth="1"/>
    <col min="7170" max="7170" width="6.625" style="260" customWidth="1"/>
    <col min="7171" max="7171" width="9" style="260"/>
    <col min="7172" max="7172" width="6.125" style="260" customWidth="1"/>
    <col min="7173" max="7175" width="17.75" style="260" customWidth="1"/>
    <col min="7176" max="7424" width="9" style="260"/>
    <col min="7425" max="7425" width="6.375" style="260" customWidth="1"/>
    <col min="7426" max="7426" width="6.625" style="260" customWidth="1"/>
    <col min="7427" max="7427" width="9" style="260"/>
    <col min="7428" max="7428" width="6.125" style="260" customWidth="1"/>
    <col min="7429" max="7431" width="17.75" style="260" customWidth="1"/>
    <col min="7432" max="7680" width="9" style="260"/>
    <col min="7681" max="7681" width="6.375" style="260" customWidth="1"/>
    <col min="7682" max="7682" width="6.625" style="260" customWidth="1"/>
    <col min="7683" max="7683" width="9" style="260"/>
    <col min="7684" max="7684" width="6.125" style="260" customWidth="1"/>
    <col min="7685" max="7687" width="17.75" style="260" customWidth="1"/>
    <col min="7688" max="7936" width="9" style="260"/>
    <col min="7937" max="7937" width="6.375" style="260" customWidth="1"/>
    <col min="7938" max="7938" width="6.625" style="260" customWidth="1"/>
    <col min="7939" max="7939" width="9" style="260"/>
    <col min="7940" max="7940" width="6.125" style="260" customWidth="1"/>
    <col min="7941" max="7943" width="17.75" style="260" customWidth="1"/>
    <col min="7944" max="8192" width="9" style="260"/>
    <col min="8193" max="8193" width="6.375" style="260" customWidth="1"/>
    <col min="8194" max="8194" width="6.625" style="260" customWidth="1"/>
    <col min="8195" max="8195" width="9" style="260"/>
    <col min="8196" max="8196" width="6.125" style="260" customWidth="1"/>
    <col min="8197" max="8199" width="17.75" style="260" customWidth="1"/>
    <col min="8200" max="8448" width="9" style="260"/>
    <col min="8449" max="8449" width="6.375" style="260" customWidth="1"/>
    <col min="8450" max="8450" width="6.625" style="260" customWidth="1"/>
    <col min="8451" max="8451" width="9" style="260"/>
    <col min="8452" max="8452" width="6.125" style="260" customWidth="1"/>
    <col min="8453" max="8455" width="17.75" style="260" customWidth="1"/>
    <col min="8456" max="8704" width="9" style="260"/>
    <col min="8705" max="8705" width="6.375" style="260" customWidth="1"/>
    <col min="8706" max="8706" width="6.625" style="260" customWidth="1"/>
    <col min="8707" max="8707" width="9" style="260"/>
    <col min="8708" max="8708" width="6.125" style="260" customWidth="1"/>
    <col min="8709" max="8711" width="17.75" style="260" customWidth="1"/>
    <col min="8712" max="8960" width="9" style="260"/>
    <col min="8961" max="8961" width="6.375" style="260" customWidth="1"/>
    <col min="8962" max="8962" width="6.625" style="260" customWidth="1"/>
    <col min="8963" max="8963" width="9" style="260"/>
    <col min="8964" max="8964" width="6.125" style="260" customWidth="1"/>
    <col min="8965" max="8967" width="17.75" style="260" customWidth="1"/>
    <col min="8968" max="9216" width="9" style="260"/>
    <col min="9217" max="9217" width="6.375" style="260" customWidth="1"/>
    <col min="9218" max="9218" width="6.625" style="260" customWidth="1"/>
    <col min="9219" max="9219" width="9" style="260"/>
    <col min="9220" max="9220" width="6.125" style="260" customWidth="1"/>
    <col min="9221" max="9223" width="17.75" style="260" customWidth="1"/>
    <col min="9224" max="9472" width="9" style="260"/>
    <col min="9473" max="9473" width="6.375" style="260" customWidth="1"/>
    <col min="9474" max="9474" width="6.625" style="260" customWidth="1"/>
    <col min="9475" max="9475" width="9" style="260"/>
    <col min="9476" max="9476" width="6.125" style="260" customWidth="1"/>
    <col min="9477" max="9479" width="17.75" style="260" customWidth="1"/>
    <col min="9480" max="9728" width="9" style="260"/>
    <col min="9729" max="9729" width="6.375" style="260" customWidth="1"/>
    <col min="9730" max="9730" width="6.625" style="260" customWidth="1"/>
    <col min="9731" max="9731" width="9" style="260"/>
    <col min="9732" max="9732" width="6.125" style="260" customWidth="1"/>
    <col min="9733" max="9735" width="17.75" style="260" customWidth="1"/>
    <col min="9736" max="9984" width="9" style="260"/>
    <col min="9985" max="9985" width="6.375" style="260" customWidth="1"/>
    <col min="9986" max="9986" width="6.625" style="260" customWidth="1"/>
    <col min="9987" max="9987" width="9" style="260"/>
    <col min="9988" max="9988" width="6.125" style="260" customWidth="1"/>
    <col min="9989" max="9991" width="17.75" style="260" customWidth="1"/>
    <col min="9992" max="10240" width="9" style="260"/>
    <col min="10241" max="10241" width="6.375" style="260" customWidth="1"/>
    <col min="10242" max="10242" width="6.625" style="260" customWidth="1"/>
    <col min="10243" max="10243" width="9" style="260"/>
    <col min="10244" max="10244" width="6.125" style="260" customWidth="1"/>
    <col min="10245" max="10247" width="17.75" style="260" customWidth="1"/>
    <col min="10248" max="10496" width="9" style="260"/>
    <col min="10497" max="10497" width="6.375" style="260" customWidth="1"/>
    <col min="10498" max="10498" width="6.625" style="260" customWidth="1"/>
    <col min="10499" max="10499" width="9" style="260"/>
    <col min="10500" max="10500" width="6.125" style="260" customWidth="1"/>
    <col min="10501" max="10503" width="17.75" style="260" customWidth="1"/>
    <col min="10504" max="10752" width="9" style="260"/>
    <col min="10753" max="10753" width="6.375" style="260" customWidth="1"/>
    <col min="10754" max="10754" width="6.625" style="260" customWidth="1"/>
    <col min="10755" max="10755" width="9" style="260"/>
    <col min="10756" max="10756" width="6.125" style="260" customWidth="1"/>
    <col min="10757" max="10759" width="17.75" style="260" customWidth="1"/>
    <col min="10760" max="11008" width="9" style="260"/>
    <col min="11009" max="11009" width="6.375" style="260" customWidth="1"/>
    <col min="11010" max="11010" width="6.625" style="260" customWidth="1"/>
    <col min="11011" max="11011" width="9" style="260"/>
    <col min="11012" max="11012" width="6.125" style="260" customWidth="1"/>
    <col min="11013" max="11015" width="17.75" style="260" customWidth="1"/>
    <col min="11016" max="11264" width="9" style="260"/>
    <col min="11265" max="11265" width="6.375" style="260" customWidth="1"/>
    <col min="11266" max="11266" width="6.625" style="260" customWidth="1"/>
    <col min="11267" max="11267" width="9" style="260"/>
    <col min="11268" max="11268" width="6.125" style="260" customWidth="1"/>
    <col min="11269" max="11271" width="17.75" style="260" customWidth="1"/>
    <col min="11272" max="11520" width="9" style="260"/>
    <col min="11521" max="11521" width="6.375" style="260" customWidth="1"/>
    <col min="11522" max="11522" width="6.625" style="260" customWidth="1"/>
    <col min="11523" max="11523" width="9" style="260"/>
    <col min="11524" max="11524" width="6.125" style="260" customWidth="1"/>
    <col min="11525" max="11527" width="17.75" style="260" customWidth="1"/>
    <col min="11528" max="11776" width="9" style="260"/>
    <col min="11777" max="11777" width="6.375" style="260" customWidth="1"/>
    <col min="11778" max="11778" width="6.625" style="260" customWidth="1"/>
    <col min="11779" max="11779" width="9" style="260"/>
    <col min="11780" max="11780" width="6.125" style="260" customWidth="1"/>
    <col min="11781" max="11783" width="17.75" style="260" customWidth="1"/>
    <col min="11784" max="12032" width="9" style="260"/>
    <col min="12033" max="12033" width="6.375" style="260" customWidth="1"/>
    <col min="12034" max="12034" width="6.625" style="260" customWidth="1"/>
    <col min="12035" max="12035" width="9" style="260"/>
    <col min="12036" max="12036" width="6.125" style="260" customWidth="1"/>
    <col min="12037" max="12039" width="17.75" style="260" customWidth="1"/>
    <col min="12040" max="12288" width="9" style="260"/>
    <col min="12289" max="12289" width="6.375" style="260" customWidth="1"/>
    <col min="12290" max="12290" width="6.625" style="260" customWidth="1"/>
    <col min="12291" max="12291" width="9" style="260"/>
    <col min="12292" max="12292" width="6.125" style="260" customWidth="1"/>
    <col min="12293" max="12295" width="17.75" style="260" customWidth="1"/>
    <col min="12296" max="12544" width="9" style="260"/>
    <col min="12545" max="12545" width="6.375" style="260" customWidth="1"/>
    <col min="12546" max="12546" width="6.625" style="260" customWidth="1"/>
    <col min="12547" max="12547" width="9" style="260"/>
    <col min="12548" max="12548" width="6.125" style="260" customWidth="1"/>
    <col min="12549" max="12551" width="17.75" style="260" customWidth="1"/>
    <col min="12552" max="12800" width="9" style="260"/>
    <col min="12801" max="12801" width="6.375" style="260" customWidth="1"/>
    <col min="12802" max="12802" width="6.625" style="260" customWidth="1"/>
    <col min="12803" max="12803" width="9" style="260"/>
    <col min="12804" max="12804" width="6.125" style="260" customWidth="1"/>
    <col min="12805" max="12807" width="17.75" style="260" customWidth="1"/>
    <col min="12808" max="13056" width="9" style="260"/>
    <col min="13057" max="13057" width="6.375" style="260" customWidth="1"/>
    <col min="13058" max="13058" width="6.625" style="260" customWidth="1"/>
    <col min="13059" max="13059" width="9" style="260"/>
    <col min="13060" max="13060" width="6.125" style="260" customWidth="1"/>
    <col min="13061" max="13063" width="17.75" style="260" customWidth="1"/>
    <col min="13064" max="13312" width="9" style="260"/>
    <col min="13313" max="13313" width="6.375" style="260" customWidth="1"/>
    <col min="13314" max="13314" width="6.625" style="260" customWidth="1"/>
    <col min="13315" max="13315" width="9" style="260"/>
    <col min="13316" max="13316" width="6.125" style="260" customWidth="1"/>
    <col min="13317" max="13319" width="17.75" style="260" customWidth="1"/>
    <col min="13320" max="13568" width="9" style="260"/>
    <col min="13569" max="13569" width="6.375" style="260" customWidth="1"/>
    <col min="13570" max="13570" width="6.625" style="260" customWidth="1"/>
    <col min="13571" max="13571" width="9" style="260"/>
    <col min="13572" max="13572" width="6.125" style="260" customWidth="1"/>
    <col min="13573" max="13575" width="17.75" style="260" customWidth="1"/>
    <col min="13576" max="13824" width="9" style="260"/>
    <col min="13825" max="13825" width="6.375" style="260" customWidth="1"/>
    <col min="13826" max="13826" width="6.625" style="260" customWidth="1"/>
    <col min="13827" max="13827" width="9" style="260"/>
    <col min="13828" max="13828" width="6.125" style="260" customWidth="1"/>
    <col min="13829" max="13831" width="17.75" style="260" customWidth="1"/>
    <col min="13832" max="14080" width="9" style="260"/>
    <col min="14081" max="14081" width="6.375" style="260" customWidth="1"/>
    <col min="14082" max="14082" width="6.625" style="260" customWidth="1"/>
    <col min="14083" max="14083" width="9" style="260"/>
    <col min="14084" max="14084" width="6.125" style="260" customWidth="1"/>
    <col min="14085" max="14087" width="17.75" style="260" customWidth="1"/>
    <col min="14088" max="14336" width="9" style="260"/>
    <col min="14337" max="14337" width="6.375" style="260" customWidth="1"/>
    <col min="14338" max="14338" width="6.625" style="260" customWidth="1"/>
    <col min="14339" max="14339" width="9" style="260"/>
    <col min="14340" max="14340" width="6.125" style="260" customWidth="1"/>
    <col min="14341" max="14343" width="17.75" style="260" customWidth="1"/>
    <col min="14344" max="14592" width="9" style="260"/>
    <col min="14593" max="14593" width="6.375" style="260" customWidth="1"/>
    <col min="14594" max="14594" width="6.625" style="260" customWidth="1"/>
    <col min="14595" max="14595" width="9" style="260"/>
    <col min="14596" max="14596" width="6.125" style="260" customWidth="1"/>
    <col min="14597" max="14599" width="17.75" style="260" customWidth="1"/>
    <col min="14600" max="14848" width="9" style="260"/>
    <col min="14849" max="14849" width="6.375" style="260" customWidth="1"/>
    <col min="14850" max="14850" width="6.625" style="260" customWidth="1"/>
    <col min="14851" max="14851" width="9" style="260"/>
    <col min="14852" max="14852" width="6.125" style="260" customWidth="1"/>
    <col min="14853" max="14855" width="17.75" style="260" customWidth="1"/>
    <col min="14856" max="15104" width="9" style="260"/>
    <col min="15105" max="15105" width="6.375" style="260" customWidth="1"/>
    <col min="15106" max="15106" width="6.625" style="260" customWidth="1"/>
    <col min="15107" max="15107" width="9" style="260"/>
    <col min="15108" max="15108" width="6.125" style="260" customWidth="1"/>
    <col min="15109" max="15111" width="17.75" style="260" customWidth="1"/>
    <col min="15112" max="15360" width="9" style="260"/>
    <col min="15361" max="15361" width="6.375" style="260" customWidth="1"/>
    <col min="15362" max="15362" width="6.625" style="260" customWidth="1"/>
    <col min="15363" max="15363" width="9" style="260"/>
    <col min="15364" max="15364" width="6.125" style="260" customWidth="1"/>
    <col min="15365" max="15367" width="17.75" style="260" customWidth="1"/>
    <col min="15368" max="15616" width="9" style="260"/>
    <col min="15617" max="15617" width="6.375" style="260" customWidth="1"/>
    <col min="15618" max="15618" width="6.625" style="260" customWidth="1"/>
    <col min="15619" max="15619" width="9" style="260"/>
    <col min="15620" max="15620" width="6.125" style="260" customWidth="1"/>
    <col min="15621" max="15623" width="17.75" style="260" customWidth="1"/>
    <col min="15624" max="15872" width="9" style="260"/>
    <col min="15873" max="15873" width="6.375" style="260" customWidth="1"/>
    <col min="15874" max="15874" width="6.625" style="260" customWidth="1"/>
    <col min="15875" max="15875" width="9" style="260"/>
    <col min="15876" max="15876" width="6.125" style="260" customWidth="1"/>
    <col min="15877" max="15879" width="17.75" style="260" customWidth="1"/>
    <col min="15880" max="16128" width="9" style="260"/>
    <col min="16129" max="16129" width="6.375" style="260" customWidth="1"/>
    <col min="16130" max="16130" width="6.625" style="260" customWidth="1"/>
    <col min="16131" max="16131" width="9" style="260"/>
    <col min="16132" max="16132" width="6.125" style="260" customWidth="1"/>
    <col min="16133" max="16135" width="17.75" style="260" customWidth="1"/>
    <col min="16136" max="16384" width="9" style="260"/>
  </cols>
  <sheetData>
    <row r="1" spans="1:10" ht="38.25">
      <c r="A1" s="287" t="s">
        <v>432</v>
      </c>
      <c r="B1" s="287"/>
      <c r="C1" s="287"/>
      <c r="D1" s="287"/>
      <c r="E1" s="287"/>
      <c r="F1" s="287"/>
      <c r="G1" s="287"/>
      <c r="H1" s="287"/>
    </row>
    <row r="2" spans="1:10" ht="26.25">
      <c r="A2" s="288" t="s">
        <v>451</v>
      </c>
      <c r="B2" s="288"/>
      <c r="C2" s="288"/>
      <c r="D2" s="288"/>
      <c r="E2" s="288"/>
      <c r="F2" s="288"/>
      <c r="G2" s="288"/>
      <c r="H2" s="261"/>
    </row>
    <row r="3" spans="1:10" ht="25.5" customHeight="1" thickBot="1">
      <c r="A3" s="288" t="s">
        <v>452</v>
      </c>
      <c r="B3" s="288"/>
      <c r="C3" s="288"/>
      <c r="D3" s="288"/>
      <c r="E3" s="288"/>
      <c r="F3" s="262"/>
      <c r="G3" s="262"/>
      <c r="H3" s="263" t="s">
        <v>433</v>
      </c>
    </row>
    <row r="4" spans="1:10" ht="34.5" customHeight="1">
      <c r="A4" s="289" t="s">
        <v>434</v>
      </c>
      <c r="B4" s="290"/>
      <c r="C4" s="290"/>
      <c r="D4" s="290"/>
      <c r="E4" s="264" t="s">
        <v>435</v>
      </c>
      <c r="F4" s="265" t="s">
        <v>436</v>
      </c>
      <c r="G4" s="265" t="s">
        <v>437</v>
      </c>
      <c r="H4" s="266" t="s">
        <v>438</v>
      </c>
    </row>
    <row r="5" spans="1:10" ht="50.1" customHeight="1">
      <c r="A5" s="291" t="s">
        <v>439</v>
      </c>
      <c r="B5" s="292" t="s">
        <v>440</v>
      </c>
      <c r="C5" s="294" t="s">
        <v>441</v>
      </c>
      <c r="D5" s="294"/>
      <c r="E5" s="267">
        <v>886684697.4880383</v>
      </c>
      <c r="F5" s="268">
        <f>'2.원가계산서(결과)'!P16*12</f>
        <v>886684697.4880383</v>
      </c>
      <c r="G5" s="269">
        <f t="shared" ref="G5:G14" si="0">F5-E5</f>
        <v>0</v>
      </c>
      <c r="H5" s="270"/>
    </row>
    <row r="6" spans="1:10" ht="39.950000000000003" customHeight="1">
      <c r="A6" s="291"/>
      <c r="B6" s="293"/>
      <c r="C6" s="295" t="s">
        <v>442</v>
      </c>
      <c r="D6" s="295"/>
      <c r="E6" s="271">
        <v>886684697.4880383</v>
      </c>
      <c r="F6" s="272">
        <f>F5</f>
        <v>886684697.4880383</v>
      </c>
      <c r="G6" s="273">
        <f t="shared" si="0"/>
        <v>0</v>
      </c>
      <c r="H6" s="274"/>
    </row>
    <row r="7" spans="1:10" ht="50.1" customHeight="1">
      <c r="A7" s="291"/>
      <c r="B7" s="292" t="s">
        <v>443</v>
      </c>
      <c r="C7" s="296" t="s">
        <v>444</v>
      </c>
      <c r="D7" s="294"/>
      <c r="E7" s="275">
        <v>144721729.27068678</v>
      </c>
      <c r="F7" s="268">
        <f>'2.원가계산서(결과)'!P29*12</f>
        <v>144721729.27068678</v>
      </c>
      <c r="G7" s="276">
        <f t="shared" si="0"/>
        <v>0</v>
      </c>
      <c r="H7" s="277"/>
    </row>
    <row r="8" spans="1:10" ht="39.950000000000003" customHeight="1">
      <c r="A8" s="291"/>
      <c r="B8" s="293"/>
      <c r="C8" s="295" t="s">
        <v>442</v>
      </c>
      <c r="D8" s="295"/>
      <c r="E8" s="278">
        <v>144721729.27068678</v>
      </c>
      <c r="F8" s="272">
        <f>F7</f>
        <v>144721729.27068678</v>
      </c>
      <c r="G8" s="273">
        <f t="shared" si="0"/>
        <v>0</v>
      </c>
      <c r="H8" s="274"/>
    </row>
    <row r="9" spans="1:10" ht="39.950000000000003" customHeight="1">
      <c r="A9" s="299" t="s">
        <v>445</v>
      </c>
      <c r="B9" s="300"/>
      <c r="C9" s="300"/>
      <c r="D9" s="300"/>
      <c r="E9" s="279">
        <v>1031406426.758725</v>
      </c>
      <c r="F9" s="268">
        <f>'2.원가계산서(결과)'!P30*12</f>
        <v>1031406426.758725</v>
      </c>
      <c r="G9" s="276">
        <f t="shared" si="0"/>
        <v>0</v>
      </c>
      <c r="H9" s="280"/>
    </row>
    <row r="10" spans="1:10" ht="39.950000000000003" customHeight="1">
      <c r="A10" s="291" t="s">
        <v>446</v>
      </c>
      <c r="B10" s="296"/>
      <c r="C10" s="296"/>
      <c r="D10" s="296"/>
      <c r="E10" s="279">
        <v>30942192.802761748</v>
      </c>
      <c r="F10" s="268">
        <f>'2.원가계산서(결과)'!P33*12</f>
        <v>30942192.802761748</v>
      </c>
      <c r="G10" s="276">
        <f t="shared" si="0"/>
        <v>0</v>
      </c>
      <c r="H10" s="277"/>
    </row>
    <row r="11" spans="1:10" ht="39.950000000000003" customHeight="1">
      <c r="A11" s="291" t="s">
        <v>447</v>
      </c>
      <c r="B11" s="296"/>
      <c r="C11" s="296"/>
      <c r="D11" s="296"/>
      <c r="E11" s="279">
        <v>51570321.337936252</v>
      </c>
      <c r="F11" s="268">
        <f>'2.원가계산서(결과)'!P34*12</f>
        <v>51570321.337936252</v>
      </c>
      <c r="G11" s="276">
        <f t="shared" si="0"/>
        <v>0</v>
      </c>
      <c r="H11" s="277"/>
    </row>
    <row r="12" spans="1:10" ht="39.950000000000003" customHeight="1">
      <c r="A12" s="291" t="s">
        <v>448</v>
      </c>
      <c r="B12" s="296"/>
      <c r="C12" s="296"/>
      <c r="D12" s="296"/>
      <c r="E12" s="281">
        <v>1113918940.8994231</v>
      </c>
      <c r="F12" s="268">
        <f>'2.원가계산서(결과)'!P35*12</f>
        <v>1113918940.8994231</v>
      </c>
      <c r="G12" s="276">
        <f t="shared" si="0"/>
        <v>0</v>
      </c>
      <c r="H12" s="277"/>
    </row>
    <row r="13" spans="1:10" ht="39.950000000000003" customHeight="1">
      <c r="A13" s="291" t="s">
        <v>449</v>
      </c>
      <c r="B13" s="296"/>
      <c r="C13" s="296"/>
      <c r="D13" s="296"/>
      <c r="E13" s="281">
        <v>111391894.08994232</v>
      </c>
      <c r="F13" s="268">
        <f>'2.원가계산서(결과)'!P36*12</f>
        <v>111391894.08994232</v>
      </c>
      <c r="G13" s="276">
        <f t="shared" si="0"/>
        <v>0</v>
      </c>
      <c r="H13" s="277"/>
    </row>
    <row r="14" spans="1:10" ht="45" customHeight="1" thickBot="1">
      <c r="A14" s="297" t="s">
        <v>450</v>
      </c>
      <c r="B14" s="298"/>
      <c r="C14" s="298"/>
      <c r="D14" s="298"/>
      <c r="E14" s="282">
        <v>1225310000</v>
      </c>
      <c r="F14" s="283">
        <f>'2.원가계산서(결과)'!P38</f>
        <v>1225310000</v>
      </c>
      <c r="G14" s="284">
        <f t="shared" si="0"/>
        <v>0</v>
      </c>
      <c r="H14" s="285">
        <f>G14/E14</f>
        <v>0</v>
      </c>
      <c r="J14" s="286"/>
    </row>
  </sheetData>
  <mergeCells count="17">
    <mergeCell ref="A14:D14"/>
    <mergeCell ref="C8:D8"/>
    <mergeCell ref="A9:D9"/>
    <mergeCell ref="A10:D10"/>
    <mergeCell ref="A11:D11"/>
    <mergeCell ref="A12:D12"/>
    <mergeCell ref="A13:D13"/>
    <mergeCell ref="A1:H1"/>
    <mergeCell ref="A2:G2"/>
    <mergeCell ref="A3:E3"/>
    <mergeCell ref="A4:D4"/>
    <mergeCell ref="A5:A8"/>
    <mergeCell ref="B5:B6"/>
    <mergeCell ref="C5:D5"/>
    <mergeCell ref="C6:D6"/>
    <mergeCell ref="B7:B8"/>
    <mergeCell ref="C7:D7"/>
  </mergeCells>
  <phoneticPr fontId="18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view="pageBreakPreview" zoomScaleNormal="100" zoomScaleSheetLayoutView="100" workbookViewId="0">
      <selection activeCell="E28" sqref="E28"/>
    </sheetView>
  </sheetViews>
  <sheetFormatPr defaultRowHeight="16.5"/>
  <sheetData>
    <row r="1" spans="1:9" ht="62.45" customHeight="1">
      <c r="A1" s="488" t="s">
        <v>179</v>
      </c>
      <c r="B1" s="488"/>
      <c r="C1" s="488"/>
      <c r="D1" s="488"/>
      <c r="E1" s="488"/>
      <c r="F1" s="488"/>
      <c r="G1" s="488"/>
      <c r="H1" s="488"/>
      <c r="I1" s="488"/>
    </row>
    <row r="2" spans="1:9">
      <c r="A2" s="489" t="s">
        <v>180</v>
      </c>
      <c r="B2" s="489"/>
      <c r="C2" s="489"/>
      <c r="D2" s="489"/>
      <c r="E2" s="489"/>
      <c r="F2" s="489"/>
      <c r="G2" s="489"/>
      <c r="H2" s="489"/>
      <c r="I2" s="489"/>
    </row>
    <row r="3" spans="1:9">
      <c r="A3" s="489"/>
      <c r="B3" s="489"/>
      <c r="C3" s="489"/>
      <c r="D3" s="489"/>
      <c r="E3" s="489"/>
      <c r="F3" s="489"/>
      <c r="G3" s="489"/>
      <c r="H3" s="489"/>
      <c r="I3" s="489"/>
    </row>
    <row r="4" spans="1:9">
      <c r="A4" s="489" t="s">
        <v>181</v>
      </c>
      <c r="B4" s="489"/>
      <c r="C4" s="489"/>
      <c r="D4" s="489"/>
      <c r="E4" s="489"/>
      <c r="F4" s="489"/>
      <c r="G4" s="489"/>
      <c r="H4" s="489"/>
      <c r="I4" s="489"/>
    </row>
    <row r="5" spans="1:9">
      <c r="A5" s="489"/>
      <c r="B5" s="489"/>
      <c r="C5" s="489"/>
      <c r="D5" s="489"/>
      <c r="E5" s="489"/>
      <c r="F5" s="489"/>
      <c r="G5" s="489"/>
      <c r="H5" s="489"/>
      <c r="I5" s="489"/>
    </row>
    <row r="6" spans="1:9">
      <c r="A6" s="489" t="s">
        <v>182</v>
      </c>
      <c r="B6" s="489"/>
      <c r="C6" s="489"/>
      <c r="D6" s="489"/>
      <c r="E6" s="489"/>
      <c r="F6" s="489"/>
      <c r="G6" s="489"/>
      <c r="H6" s="489"/>
      <c r="I6" s="489"/>
    </row>
    <row r="7" spans="1:9">
      <c r="A7" s="489"/>
      <c r="B7" s="489"/>
      <c r="C7" s="489"/>
      <c r="D7" s="489"/>
      <c r="E7" s="489"/>
      <c r="F7" s="489"/>
      <c r="G7" s="489"/>
      <c r="H7" s="489"/>
      <c r="I7" s="489"/>
    </row>
    <row r="8" spans="1:9">
      <c r="A8" s="489" t="s">
        <v>183</v>
      </c>
      <c r="B8" s="489"/>
      <c r="C8" s="489"/>
      <c r="D8" s="489"/>
      <c r="E8" s="489"/>
      <c r="F8" s="489"/>
      <c r="G8" s="489"/>
      <c r="H8" s="489"/>
      <c r="I8" s="489"/>
    </row>
    <row r="9" spans="1:9">
      <c r="A9" s="489"/>
      <c r="B9" s="489"/>
      <c r="C9" s="489"/>
      <c r="D9" s="489"/>
      <c r="E9" s="489"/>
      <c r="F9" s="489"/>
      <c r="G9" s="489"/>
      <c r="H9" s="489"/>
      <c r="I9" s="489"/>
    </row>
    <row r="10" spans="1:9">
      <c r="A10" s="489" t="s">
        <v>255</v>
      </c>
      <c r="B10" s="489"/>
      <c r="C10" s="489"/>
      <c r="D10" s="489"/>
      <c r="E10" s="489"/>
      <c r="F10" s="489"/>
      <c r="G10" s="489"/>
      <c r="H10" s="489"/>
      <c r="I10" s="489"/>
    </row>
    <row r="11" spans="1:9">
      <c r="A11" s="489"/>
      <c r="B11" s="489"/>
      <c r="C11" s="489"/>
      <c r="D11" s="489"/>
      <c r="E11" s="489"/>
      <c r="F11" s="489"/>
      <c r="G11" s="489"/>
      <c r="H11" s="489"/>
      <c r="I11" s="489"/>
    </row>
    <row r="12" spans="1:9">
      <c r="A12" s="489" t="s">
        <v>254</v>
      </c>
      <c r="B12" s="489"/>
      <c r="C12" s="489"/>
      <c r="D12" s="489"/>
      <c r="E12" s="489"/>
      <c r="F12" s="489"/>
      <c r="G12" s="489"/>
      <c r="H12" s="489"/>
      <c r="I12" s="489"/>
    </row>
    <row r="13" spans="1:9">
      <c r="A13" s="489"/>
      <c r="B13" s="489"/>
      <c r="C13" s="489"/>
      <c r="D13" s="489"/>
      <c r="E13" s="489"/>
      <c r="F13" s="489"/>
      <c r="G13" s="489"/>
      <c r="H13" s="489"/>
      <c r="I13" s="489"/>
    </row>
    <row r="14" spans="1:9">
      <c r="A14" s="489" t="s">
        <v>184</v>
      </c>
      <c r="B14" s="489"/>
      <c r="C14" s="489"/>
      <c r="D14" s="489"/>
      <c r="E14" s="489"/>
      <c r="F14" s="489"/>
      <c r="G14" s="489"/>
      <c r="H14" s="489"/>
      <c r="I14" s="489"/>
    </row>
    <row r="15" spans="1:9">
      <c r="A15" s="489"/>
      <c r="B15" s="489"/>
      <c r="C15" s="489"/>
      <c r="D15" s="489"/>
      <c r="E15" s="489"/>
      <c r="F15" s="489"/>
      <c r="G15" s="489"/>
      <c r="H15" s="489"/>
      <c r="I15" s="489"/>
    </row>
    <row r="16" spans="1:9">
      <c r="A16" s="489" t="s">
        <v>185</v>
      </c>
      <c r="B16" s="489"/>
      <c r="C16" s="489"/>
      <c r="D16" s="489"/>
      <c r="E16" s="489"/>
      <c r="F16" s="489"/>
      <c r="G16" s="489"/>
      <c r="H16" s="489"/>
      <c r="I16" s="489"/>
    </row>
    <row r="17" spans="1:9">
      <c r="A17" s="489"/>
      <c r="B17" s="489"/>
      <c r="C17" s="489"/>
      <c r="D17" s="489"/>
      <c r="E17" s="489"/>
      <c r="F17" s="489"/>
      <c r="G17" s="489"/>
      <c r="H17" s="489"/>
      <c r="I17" s="489"/>
    </row>
    <row r="18" spans="1:9" ht="24" customHeight="1">
      <c r="A18" s="88" t="s">
        <v>186</v>
      </c>
      <c r="B18" s="88"/>
      <c r="C18" s="88"/>
      <c r="D18" s="88"/>
      <c r="E18" s="88"/>
      <c r="F18" s="88"/>
      <c r="G18" s="88"/>
      <c r="H18" s="88"/>
      <c r="I18" s="88"/>
    </row>
    <row r="19" spans="1:9" ht="24" customHeight="1">
      <c r="A19" s="88" t="s">
        <v>187</v>
      </c>
      <c r="B19" s="88"/>
      <c r="C19" s="88"/>
      <c r="D19" s="88"/>
      <c r="E19" s="88"/>
      <c r="F19" s="88"/>
      <c r="G19" s="88"/>
      <c r="H19" s="88"/>
      <c r="I19" s="88"/>
    </row>
    <row r="20" spans="1:9" ht="24" customHeight="1">
      <c r="A20" s="88"/>
      <c r="B20" s="88" t="s">
        <v>188</v>
      </c>
      <c r="C20" s="88"/>
      <c r="D20" s="88"/>
      <c r="E20" s="88"/>
      <c r="F20" s="88"/>
      <c r="G20" s="88"/>
      <c r="H20" s="88"/>
      <c r="I20" s="88"/>
    </row>
    <row r="21" spans="1:9" ht="24" customHeight="1">
      <c r="A21" s="88" t="s">
        <v>189</v>
      </c>
      <c r="B21" s="88" t="s">
        <v>190</v>
      </c>
      <c r="C21" s="88"/>
      <c r="D21" s="88" t="s">
        <v>191</v>
      </c>
      <c r="E21" s="88"/>
      <c r="F21" s="88"/>
      <c r="G21" s="88"/>
      <c r="H21" s="88"/>
      <c r="I21" s="88"/>
    </row>
    <row r="22" spans="1:9" ht="17.25">
      <c r="A22" s="24"/>
      <c r="B22" s="24"/>
      <c r="C22" s="24"/>
      <c r="D22" s="24"/>
      <c r="E22" s="24"/>
      <c r="F22" s="24"/>
      <c r="G22" s="24"/>
      <c r="H22" s="24"/>
      <c r="I22" s="24"/>
    </row>
    <row r="23" spans="1:9" ht="17.25">
      <c r="A23" s="24"/>
      <c r="B23" s="24"/>
      <c r="C23" s="24"/>
      <c r="D23" s="24"/>
      <c r="E23" s="24"/>
      <c r="F23" s="24"/>
      <c r="G23" s="24"/>
      <c r="H23" s="24"/>
      <c r="I23" s="24"/>
    </row>
    <row r="24" spans="1:9" ht="17.25">
      <c r="A24" s="24"/>
      <c r="B24" s="24"/>
      <c r="C24" s="24"/>
      <c r="D24" s="24"/>
      <c r="E24" s="24"/>
      <c r="F24" s="24"/>
      <c r="G24" s="24"/>
      <c r="H24" s="24"/>
      <c r="I24" s="24"/>
    </row>
    <row r="25" spans="1:9" ht="17.25">
      <c r="A25" s="24"/>
      <c r="B25" s="24"/>
      <c r="C25" s="24"/>
      <c r="D25" s="24"/>
      <c r="E25" s="24"/>
      <c r="F25" s="24"/>
      <c r="G25" s="24"/>
      <c r="H25" s="24"/>
      <c r="I25" s="24"/>
    </row>
    <row r="26" spans="1:9" ht="17.25">
      <c r="A26" s="24"/>
      <c r="B26" s="24"/>
      <c r="C26" s="24"/>
      <c r="D26" s="24"/>
      <c r="E26" s="24"/>
      <c r="F26" s="24"/>
      <c r="G26" s="24"/>
      <c r="H26" s="24"/>
      <c r="I26" s="24"/>
    </row>
  </sheetData>
  <mergeCells count="9">
    <mergeCell ref="A1:I1"/>
    <mergeCell ref="A14:I15"/>
    <mergeCell ref="A16:I17"/>
    <mergeCell ref="A2:I3"/>
    <mergeCell ref="A4:I5"/>
    <mergeCell ref="A6:I7"/>
    <mergeCell ref="A8:I9"/>
    <mergeCell ref="A10:I11"/>
    <mergeCell ref="A12:I13"/>
  </mergeCells>
  <phoneticPr fontId="6" type="noConversion"/>
  <printOptions horizontalCentered="1"/>
  <pageMargins left="0.70866141732283472" right="0.70866141732283472" top="1.3385826771653544" bottom="0.74803149606299213" header="0.31496062992125984" footer="0.31496062992125984"/>
  <pageSetup paperSize="9" scale="9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view="pageBreakPreview" zoomScale="85" zoomScaleNormal="100" zoomScaleSheetLayoutView="85" workbookViewId="0">
      <selection activeCell="C42" sqref="C42:E43"/>
    </sheetView>
  </sheetViews>
  <sheetFormatPr defaultRowHeight="16.5"/>
  <cols>
    <col min="1" max="1" width="8.125" customWidth="1"/>
    <col min="2" max="2" width="13" customWidth="1"/>
    <col min="3" max="5" width="13.875" customWidth="1"/>
    <col min="6" max="6" width="4.625" customWidth="1"/>
  </cols>
  <sheetData>
    <row r="1" spans="1:5" ht="44.25" customHeight="1">
      <c r="A1" s="502" t="s">
        <v>392</v>
      </c>
      <c r="B1" s="502"/>
      <c r="C1" s="502"/>
      <c r="D1" s="502"/>
      <c r="E1" s="502"/>
    </row>
    <row r="2" spans="1:5" ht="12.75" customHeight="1">
      <c r="A2" s="506" t="s">
        <v>229</v>
      </c>
      <c r="B2" s="508" t="s">
        <v>71</v>
      </c>
      <c r="C2" s="508" t="s">
        <v>89</v>
      </c>
      <c r="D2" s="510"/>
      <c r="E2" s="511"/>
    </row>
    <row r="3" spans="1:5" ht="12.75" customHeight="1" thickBot="1">
      <c r="A3" s="507"/>
      <c r="B3" s="509"/>
      <c r="C3" s="509"/>
      <c r="D3" s="512"/>
      <c r="E3" s="513"/>
    </row>
    <row r="4" spans="1:5" ht="11.25" customHeight="1" thickTop="1">
      <c r="A4" s="494">
        <v>1</v>
      </c>
      <c r="B4" s="501" t="s">
        <v>66</v>
      </c>
      <c r="C4" s="503" t="s">
        <v>67</v>
      </c>
      <c r="D4" s="504"/>
      <c r="E4" s="505"/>
    </row>
    <row r="5" spans="1:5" ht="11.25" customHeight="1">
      <c r="A5" s="485"/>
      <c r="B5" s="498"/>
      <c r="C5" s="466"/>
      <c r="D5" s="467"/>
      <c r="E5" s="493"/>
    </row>
    <row r="6" spans="1:5" ht="11.25" customHeight="1">
      <c r="A6" s="485">
        <v>2</v>
      </c>
      <c r="B6" s="495" t="s">
        <v>385</v>
      </c>
      <c r="C6" s="464" t="s">
        <v>163</v>
      </c>
      <c r="D6" s="465"/>
      <c r="E6" s="492"/>
    </row>
    <row r="7" spans="1:5" ht="11.25" customHeight="1">
      <c r="A7" s="485"/>
      <c r="B7" s="498"/>
      <c r="C7" s="466"/>
      <c r="D7" s="467"/>
      <c r="E7" s="493"/>
    </row>
    <row r="8" spans="1:5" ht="11.25" customHeight="1">
      <c r="A8" s="494">
        <v>3</v>
      </c>
      <c r="B8" s="495" t="s">
        <v>386</v>
      </c>
      <c r="C8" s="464" t="s">
        <v>147</v>
      </c>
      <c r="D8" s="465"/>
      <c r="E8" s="492"/>
    </row>
    <row r="9" spans="1:5" ht="11.25" customHeight="1">
      <c r="A9" s="485"/>
      <c r="B9" s="498"/>
      <c r="C9" s="466"/>
      <c r="D9" s="467"/>
      <c r="E9" s="493"/>
    </row>
    <row r="10" spans="1:5" ht="11.25" customHeight="1">
      <c r="A10" s="485">
        <v>4</v>
      </c>
      <c r="B10" s="495" t="s">
        <v>162</v>
      </c>
      <c r="C10" s="464" t="s">
        <v>147</v>
      </c>
      <c r="D10" s="465"/>
      <c r="E10" s="492"/>
    </row>
    <row r="11" spans="1:5" ht="11.25" customHeight="1">
      <c r="A11" s="485"/>
      <c r="B11" s="498"/>
      <c r="C11" s="466"/>
      <c r="D11" s="467"/>
      <c r="E11" s="493"/>
    </row>
    <row r="12" spans="1:5" ht="11.25" customHeight="1">
      <c r="A12" s="494">
        <v>5</v>
      </c>
      <c r="B12" s="495" t="s">
        <v>162</v>
      </c>
      <c r="C12" s="464" t="s">
        <v>147</v>
      </c>
      <c r="D12" s="465"/>
      <c r="E12" s="492"/>
    </row>
    <row r="13" spans="1:5" ht="11.25" customHeight="1">
      <c r="A13" s="485"/>
      <c r="B13" s="498"/>
      <c r="C13" s="466"/>
      <c r="D13" s="467"/>
      <c r="E13" s="493"/>
    </row>
    <row r="14" spans="1:5" ht="11.25" customHeight="1">
      <c r="A14" s="485">
        <v>6</v>
      </c>
      <c r="B14" s="495" t="s">
        <v>162</v>
      </c>
      <c r="C14" s="464" t="s">
        <v>147</v>
      </c>
      <c r="D14" s="465"/>
      <c r="E14" s="492"/>
    </row>
    <row r="15" spans="1:5" ht="11.25" customHeight="1">
      <c r="A15" s="485"/>
      <c r="B15" s="498"/>
      <c r="C15" s="466"/>
      <c r="D15" s="467"/>
      <c r="E15" s="493"/>
    </row>
    <row r="16" spans="1:5" ht="11.25" customHeight="1">
      <c r="A16" s="494">
        <v>7</v>
      </c>
      <c r="B16" s="495" t="s">
        <v>162</v>
      </c>
      <c r="C16" s="464" t="s">
        <v>147</v>
      </c>
      <c r="D16" s="465"/>
      <c r="E16" s="492"/>
    </row>
    <row r="17" spans="1:5" ht="11.25" customHeight="1">
      <c r="A17" s="485"/>
      <c r="B17" s="498"/>
      <c r="C17" s="466"/>
      <c r="D17" s="467"/>
      <c r="E17" s="493"/>
    </row>
    <row r="18" spans="1:5" ht="11.25" customHeight="1">
      <c r="A18" s="485">
        <v>8</v>
      </c>
      <c r="B18" s="495" t="s">
        <v>192</v>
      </c>
      <c r="C18" s="464" t="s">
        <v>195</v>
      </c>
      <c r="D18" s="465"/>
      <c r="E18" s="492"/>
    </row>
    <row r="19" spans="1:5" ht="11.25" customHeight="1">
      <c r="A19" s="485"/>
      <c r="B19" s="501"/>
      <c r="C19" s="466"/>
      <c r="D19" s="467"/>
      <c r="E19" s="493"/>
    </row>
    <row r="20" spans="1:5" ht="11.25" customHeight="1">
      <c r="A20" s="494">
        <v>9</v>
      </c>
      <c r="B20" s="495" t="s">
        <v>192</v>
      </c>
      <c r="C20" s="464" t="s">
        <v>161</v>
      </c>
      <c r="D20" s="465"/>
      <c r="E20" s="492"/>
    </row>
    <row r="21" spans="1:5" ht="11.25" customHeight="1">
      <c r="A21" s="485"/>
      <c r="B21" s="501"/>
      <c r="C21" s="466"/>
      <c r="D21" s="467"/>
      <c r="E21" s="493"/>
    </row>
    <row r="22" spans="1:5" ht="11.25" customHeight="1">
      <c r="A22" s="485">
        <v>10</v>
      </c>
      <c r="B22" s="495" t="s">
        <v>192</v>
      </c>
      <c r="C22" s="464" t="s">
        <v>161</v>
      </c>
      <c r="D22" s="465"/>
      <c r="E22" s="492"/>
    </row>
    <row r="23" spans="1:5" ht="11.25" customHeight="1">
      <c r="A23" s="485"/>
      <c r="B23" s="501"/>
      <c r="C23" s="466"/>
      <c r="D23" s="467"/>
      <c r="E23" s="493"/>
    </row>
    <row r="24" spans="1:5" ht="11.25" customHeight="1">
      <c r="A24" s="494">
        <v>11</v>
      </c>
      <c r="B24" s="495" t="s">
        <v>192</v>
      </c>
      <c r="C24" s="464" t="s">
        <v>161</v>
      </c>
      <c r="D24" s="465"/>
      <c r="E24" s="492"/>
    </row>
    <row r="25" spans="1:5" ht="11.25" customHeight="1">
      <c r="A25" s="485"/>
      <c r="B25" s="501"/>
      <c r="C25" s="466"/>
      <c r="D25" s="467"/>
      <c r="E25" s="493"/>
    </row>
    <row r="26" spans="1:5" ht="11.25" customHeight="1">
      <c r="A26" s="485">
        <v>12</v>
      </c>
      <c r="B26" s="495" t="s">
        <v>192</v>
      </c>
      <c r="C26" s="464" t="s">
        <v>161</v>
      </c>
      <c r="D26" s="465"/>
      <c r="E26" s="492"/>
    </row>
    <row r="27" spans="1:5" ht="11.25" customHeight="1">
      <c r="A27" s="485"/>
      <c r="B27" s="501"/>
      <c r="C27" s="466"/>
      <c r="D27" s="467"/>
      <c r="E27" s="493"/>
    </row>
    <row r="28" spans="1:5" ht="11.25" customHeight="1">
      <c r="A28" s="494">
        <v>13</v>
      </c>
      <c r="B28" s="490" t="s">
        <v>193</v>
      </c>
      <c r="C28" s="464" t="s">
        <v>68</v>
      </c>
      <c r="D28" s="465"/>
      <c r="E28" s="492"/>
    </row>
    <row r="29" spans="1:5" ht="11.25" customHeight="1">
      <c r="A29" s="485"/>
      <c r="B29" s="491"/>
      <c r="C29" s="466"/>
      <c r="D29" s="467"/>
      <c r="E29" s="493"/>
    </row>
    <row r="30" spans="1:5" ht="11.25" customHeight="1">
      <c r="A30" s="485">
        <v>14</v>
      </c>
      <c r="B30" s="490" t="s">
        <v>193</v>
      </c>
      <c r="C30" s="464" t="s">
        <v>69</v>
      </c>
      <c r="D30" s="465"/>
      <c r="E30" s="492"/>
    </row>
    <row r="31" spans="1:5" ht="11.25" customHeight="1">
      <c r="A31" s="485"/>
      <c r="B31" s="491"/>
      <c r="C31" s="466"/>
      <c r="D31" s="467"/>
      <c r="E31" s="493"/>
    </row>
    <row r="32" spans="1:5" ht="11.25" customHeight="1">
      <c r="A32" s="494">
        <v>15</v>
      </c>
      <c r="B32" s="490" t="s">
        <v>193</v>
      </c>
      <c r="C32" s="495" t="s">
        <v>70</v>
      </c>
      <c r="D32" s="496"/>
      <c r="E32" s="497"/>
    </row>
    <row r="33" spans="1:5" ht="11.25" customHeight="1">
      <c r="A33" s="485"/>
      <c r="B33" s="491"/>
      <c r="C33" s="498"/>
      <c r="D33" s="499"/>
      <c r="E33" s="500"/>
    </row>
    <row r="34" spans="1:5" ht="11.25" customHeight="1">
      <c r="A34" s="485">
        <v>16</v>
      </c>
      <c r="B34" s="490" t="s">
        <v>194</v>
      </c>
      <c r="C34" s="464" t="s">
        <v>68</v>
      </c>
      <c r="D34" s="465"/>
      <c r="E34" s="492"/>
    </row>
    <row r="35" spans="1:5" ht="11.25" customHeight="1">
      <c r="A35" s="485"/>
      <c r="B35" s="491"/>
      <c r="C35" s="466"/>
      <c r="D35" s="467"/>
      <c r="E35" s="493"/>
    </row>
    <row r="36" spans="1:5" ht="11.25" customHeight="1">
      <c r="A36" s="494">
        <v>17</v>
      </c>
      <c r="B36" s="490" t="s">
        <v>194</v>
      </c>
      <c r="C36" s="464" t="s">
        <v>69</v>
      </c>
      <c r="D36" s="465"/>
      <c r="E36" s="492"/>
    </row>
    <row r="37" spans="1:5" ht="11.25" customHeight="1">
      <c r="A37" s="485"/>
      <c r="B37" s="491"/>
      <c r="C37" s="466"/>
      <c r="D37" s="467"/>
      <c r="E37" s="493"/>
    </row>
    <row r="38" spans="1:5" ht="11.25" customHeight="1">
      <c r="A38" s="485">
        <v>18</v>
      </c>
      <c r="B38" s="490" t="s">
        <v>431</v>
      </c>
      <c r="C38" s="464" t="s">
        <v>380</v>
      </c>
      <c r="D38" s="465"/>
      <c r="E38" s="492"/>
    </row>
    <row r="39" spans="1:5" ht="11.25" customHeight="1">
      <c r="A39" s="485"/>
      <c r="B39" s="491"/>
      <c r="C39" s="466"/>
      <c r="D39" s="467"/>
      <c r="E39" s="493"/>
    </row>
    <row r="40" spans="1:5" ht="11.25" customHeight="1">
      <c r="A40" s="485">
        <v>19</v>
      </c>
      <c r="B40" s="490" t="s">
        <v>379</v>
      </c>
      <c r="C40" s="464" t="s">
        <v>381</v>
      </c>
      <c r="D40" s="465"/>
      <c r="E40" s="492"/>
    </row>
    <row r="41" spans="1:5" ht="11.25" customHeight="1">
      <c r="A41" s="485"/>
      <c r="B41" s="491"/>
      <c r="C41" s="466"/>
      <c r="D41" s="467"/>
      <c r="E41" s="493"/>
    </row>
    <row r="42" spans="1:5" ht="11.25" customHeight="1">
      <c r="A42" s="485">
        <v>20</v>
      </c>
      <c r="B42" s="490" t="s">
        <v>378</v>
      </c>
      <c r="C42" s="464" t="s">
        <v>382</v>
      </c>
      <c r="D42" s="465"/>
      <c r="E42" s="492"/>
    </row>
    <row r="43" spans="1:5" ht="11.25" customHeight="1">
      <c r="A43" s="485"/>
      <c r="B43" s="491"/>
      <c r="C43" s="466"/>
      <c r="D43" s="467"/>
      <c r="E43" s="493"/>
    </row>
    <row r="44" spans="1:5" ht="11.25" customHeight="1">
      <c r="A44" s="485">
        <v>21</v>
      </c>
      <c r="B44" s="490" t="s">
        <v>378</v>
      </c>
      <c r="C44" s="464" t="s">
        <v>382</v>
      </c>
      <c r="D44" s="465"/>
      <c r="E44" s="492"/>
    </row>
    <row r="45" spans="1:5" ht="11.25" customHeight="1">
      <c r="A45" s="485"/>
      <c r="B45" s="491"/>
      <c r="C45" s="466"/>
      <c r="D45" s="467"/>
      <c r="E45" s="493"/>
    </row>
    <row r="46" spans="1:5" ht="11.25" customHeight="1">
      <c r="A46" s="485">
        <v>22</v>
      </c>
      <c r="B46" s="490" t="s">
        <v>376</v>
      </c>
      <c r="C46" s="464" t="s">
        <v>383</v>
      </c>
      <c r="D46" s="465"/>
      <c r="E46" s="492"/>
    </row>
    <row r="47" spans="1:5" ht="11.25" customHeight="1">
      <c r="A47" s="485"/>
      <c r="B47" s="491"/>
      <c r="C47" s="466"/>
      <c r="D47" s="467"/>
      <c r="E47" s="493"/>
    </row>
    <row r="48" spans="1:5" ht="11.25" customHeight="1">
      <c r="A48" s="485">
        <v>23</v>
      </c>
      <c r="B48" s="490" t="s">
        <v>377</v>
      </c>
      <c r="C48" s="464" t="s">
        <v>383</v>
      </c>
      <c r="D48" s="465"/>
      <c r="E48" s="492"/>
    </row>
    <row r="49" spans="1:5" ht="11.25" customHeight="1">
      <c r="A49" s="485"/>
      <c r="B49" s="491"/>
      <c r="C49" s="466"/>
      <c r="D49" s="467"/>
      <c r="E49" s="493"/>
    </row>
  </sheetData>
  <mergeCells count="73">
    <mergeCell ref="A1:E1"/>
    <mergeCell ref="A4:A5"/>
    <mergeCell ref="B4:B5"/>
    <mergeCell ref="C4:E5"/>
    <mergeCell ref="A10:A11"/>
    <mergeCell ref="B8:B9"/>
    <mergeCell ref="C8:E9"/>
    <mergeCell ref="A8:A9"/>
    <mergeCell ref="A6:A7"/>
    <mergeCell ref="B6:B7"/>
    <mergeCell ref="C6:E7"/>
    <mergeCell ref="A2:A3"/>
    <mergeCell ref="B2:B3"/>
    <mergeCell ref="C2:E3"/>
    <mergeCell ref="A12:A13"/>
    <mergeCell ref="B10:B11"/>
    <mergeCell ref="C10:E11"/>
    <mergeCell ref="A14:A15"/>
    <mergeCell ref="B12:B13"/>
    <mergeCell ref="C12:E13"/>
    <mergeCell ref="A16:A17"/>
    <mergeCell ref="B14:B15"/>
    <mergeCell ref="C14:E15"/>
    <mergeCell ref="A18:A19"/>
    <mergeCell ref="B16:B17"/>
    <mergeCell ref="C16:E17"/>
    <mergeCell ref="A20:A21"/>
    <mergeCell ref="B18:B19"/>
    <mergeCell ref="C18:E19"/>
    <mergeCell ref="A24:A25"/>
    <mergeCell ref="B20:B21"/>
    <mergeCell ref="C20:E21"/>
    <mergeCell ref="A22:A23"/>
    <mergeCell ref="B22:B23"/>
    <mergeCell ref="C22:E23"/>
    <mergeCell ref="B28:B29"/>
    <mergeCell ref="C28:E29"/>
    <mergeCell ref="A26:A27"/>
    <mergeCell ref="B24:B25"/>
    <mergeCell ref="C24:E25"/>
    <mergeCell ref="A28:A29"/>
    <mergeCell ref="B26:B27"/>
    <mergeCell ref="C26:E27"/>
    <mergeCell ref="A32:A33"/>
    <mergeCell ref="B30:B31"/>
    <mergeCell ref="C30:E31"/>
    <mergeCell ref="A34:A35"/>
    <mergeCell ref="B32:B33"/>
    <mergeCell ref="C32:E33"/>
    <mergeCell ref="A30:A31"/>
    <mergeCell ref="A44:A45"/>
    <mergeCell ref="A46:A47"/>
    <mergeCell ref="A36:A37"/>
    <mergeCell ref="B34:B35"/>
    <mergeCell ref="C34:E35"/>
    <mergeCell ref="B36:B37"/>
    <mergeCell ref="C36:E37"/>
    <mergeCell ref="A48:A49"/>
    <mergeCell ref="B38:B39"/>
    <mergeCell ref="C38:E39"/>
    <mergeCell ref="B40:B41"/>
    <mergeCell ref="C40:E41"/>
    <mergeCell ref="B42:B43"/>
    <mergeCell ref="C42:E43"/>
    <mergeCell ref="B44:B45"/>
    <mergeCell ref="C44:E45"/>
    <mergeCell ref="B46:B47"/>
    <mergeCell ref="C46:E47"/>
    <mergeCell ref="B48:B49"/>
    <mergeCell ref="C48:E49"/>
    <mergeCell ref="A38:A39"/>
    <mergeCell ref="A40:A41"/>
    <mergeCell ref="A42:A43"/>
  </mergeCells>
  <phoneticPr fontId="6" type="noConversion"/>
  <printOptions horizontalCentered="1"/>
  <pageMargins left="0.70866141732283472" right="0.70866141732283472" top="0.71" bottom="0.74803149606299213" header="0.31496062992125984" footer="0.31496062992125984"/>
  <pageSetup paperSize="9" scale="121" orientation="portrait" r:id="rId1"/>
  <rowBreaks count="1" manualBreakCount="1">
    <brk id="49" max="4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6"/>
  <sheetViews>
    <sheetView view="pageBreakPreview" topLeftCell="A16" zoomScale="115" zoomScaleNormal="100" zoomScaleSheetLayoutView="115" workbookViewId="0">
      <selection activeCell="E41" sqref="E41"/>
    </sheetView>
  </sheetViews>
  <sheetFormatPr defaultRowHeight="16.5"/>
  <cols>
    <col min="1" max="3" width="3.75" customWidth="1"/>
    <col min="11" max="11" width="18.125" customWidth="1"/>
  </cols>
  <sheetData>
    <row r="1" spans="1:11" s="20" customFormat="1" ht="29.25" customHeight="1">
      <c r="A1" s="514" t="s">
        <v>148</v>
      </c>
      <c r="B1" s="514"/>
      <c r="C1" s="514"/>
      <c r="D1" s="514"/>
      <c r="E1" s="514"/>
      <c r="F1" s="514"/>
      <c r="G1" s="514"/>
      <c r="H1" s="514"/>
      <c r="I1" s="514"/>
      <c r="J1" s="514"/>
      <c r="K1" s="514"/>
    </row>
    <row r="2" spans="1:11" s="70" customFormat="1" ht="29.25" customHeight="1">
      <c r="A2" s="76" t="s">
        <v>216</v>
      </c>
      <c r="B2" s="77"/>
      <c r="C2" s="77"/>
      <c r="D2" s="77"/>
      <c r="E2" s="77"/>
      <c r="F2" s="77"/>
      <c r="G2" s="77"/>
      <c r="H2" s="77"/>
      <c r="I2" s="77"/>
      <c r="J2" s="77"/>
      <c r="K2" s="77"/>
    </row>
    <row r="3" spans="1:11" s="70" customFormat="1" ht="72.75" customHeight="1">
      <c r="A3" s="516" t="s">
        <v>403</v>
      </c>
      <c r="B3" s="517"/>
      <c r="C3" s="517"/>
      <c r="D3" s="517"/>
      <c r="E3" s="517"/>
      <c r="F3" s="517"/>
      <c r="G3" s="517"/>
      <c r="H3" s="517"/>
      <c r="I3" s="517"/>
      <c r="J3" s="517"/>
      <c r="K3" s="517"/>
    </row>
    <row r="4" spans="1:11" s="70" customFormat="1" ht="25.5" customHeight="1">
      <c r="A4" s="78" t="s">
        <v>219</v>
      </c>
      <c r="B4" s="79"/>
      <c r="C4" s="79"/>
      <c r="D4" s="79"/>
      <c r="E4" s="79"/>
      <c r="F4" s="79"/>
      <c r="G4" s="79"/>
      <c r="H4" s="79"/>
      <c r="I4" s="79"/>
      <c r="J4" s="79"/>
      <c r="K4" s="79"/>
    </row>
    <row r="5" spans="1:11" s="29" customFormat="1" ht="13.5">
      <c r="A5" s="79"/>
      <c r="B5" s="79" t="s">
        <v>412</v>
      </c>
      <c r="C5" s="79"/>
      <c r="D5" s="79"/>
      <c r="E5" s="79"/>
      <c r="F5" s="79"/>
      <c r="G5" s="79"/>
      <c r="H5" s="79"/>
      <c r="I5" s="79"/>
      <c r="J5" s="79"/>
      <c r="K5" s="79"/>
    </row>
    <row r="6" spans="1:11" s="29" customFormat="1" ht="25.5" customHeight="1">
      <c r="A6" s="79"/>
      <c r="B6" s="79" t="s">
        <v>286</v>
      </c>
      <c r="C6" s="79"/>
      <c r="D6" s="79"/>
      <c r="E6" s="79"/>
      <c r="F6" s="79"/>
      <c r="G6" s="79"/>
      <c r="H6" s="79"/>
      <c r="I6" s="79"/>
      <c r="J6" s="79"/>
      <c r="K6" s="79"/>
    </row>
    <row r="7" spans="1:11" s="29" customFormat="1" ht="13.5">
      <c r="A7" s="79"/>
      <c r="B7" s="79"/>
      <c r="C7" s="79" t="s">
        <v>122</v>
      </c>
      <c r="D7" s="79"/>
      <c r="E7" s="79"/>
      <c r="F7" s="79"/>
      <c r="G7" s="79"/>
      <c r="H7" s="79"/>
      <c r="I7" s="79"/>
      <c r="J7" s="79"/>
      <c r="K7" s="79"/>
    </row>
    <row r="8" spans="1:11" s="29" customFormat="1" ht="13.5">
      <c r="A8" s="79"/>
      <c r="B8" s="79"/>
      <c r="C8" s="79" t="s">
        <v>121</v>
      </c>
      <c r="D8" s="79"/>
      <c r="E8" s="79"/>
      <c r="F8" s="79"/>
      <c r="G8" s="79"/>
      <c r="H8" s="79"/>
      <c r="I8" s="79"/>
      <c r="J8" s="79"/>
      <c r="K8" s="79"/>
    </row>
    <row r="9" spans="1:11" s="29" customFormat="1" ht="13.5">
      <c r="A9" s="79"/>
      <c r="B9" s="79" t="s">
        <v>291</v>
      </c>
      <c r="C9" s="79"/>
      <c r="D9" s="79"/>
      <c r="E9" s="79"/>
      <c r="F9" s="79"/>
      <c r="G9" s="79"/>
      <c r="H9" s="79"/>
      <c r="I9" s="79"/>
      <c r="J9" s="79"/>
      <c r="K9" s="79"/>
    </row>
    <row r="10" spans="1:11" s="29" customFormat="1" ht="13.5">
      <c r="A10" s="79"/>
      <c r="B10" s="79"/>
      <c r="C10" s="79" t="s">
        <v>53</v>
      </c>
      <c r="D10" s="79"/>
      <c r="E10" s="79"/>
      <c r="F10" s="79"/>
      <c r="G10" s="79"/>
      <c r="H10" s="79"/>
      <c r="I10" s="79"/>
      <c r="J10" s="79"/>
      <c r="K10" s="79"/>
    </row>
    <row r="11" spans="1:11" s="29" customFormat="1" ht="13.5">
      <c r="A11" s="79"/>
      <c r="B11" s="79" t="s">
        <v>287</v>
      </c>
      <c r="C11" s="79"/>
      <c r="D11" s="79"/>
      <c r="E11" s="79"/>
      <c r="F11" s="79"/>
      <c r="G11" s="79"/>
      <c r="H11" s="79"/>
      <c r="I11" s="79"/>
      <c r="J11" s="79"/>
      <c r="K11" s="79"/>
    </row>
    <row r="12" spans="1:11" s="29" customFormat="1" ht="13.5">
      <c r="A12" s="79"/>
      <c r="B12" s="79"/>
      <c r="C12" s="79" t="s">
        <v>53</v>
      </c>
      <c r="D12" s="79"/>
      <c r="E12" s="79"/>
      <c r="F12" s="79"/>
      <c r="G12" s="79"/>
      <c r="H12" s="79"/>
      <c r="I12" s="79"/>
      <c r="J12" s="79"/>
      <c r="K12" s="79"/>
    </row>
    <row r="13" spans="1:11" s="29" customFormat="1" ht="13.5">
      <c r="A13" s="79"/>
      <c r="B13" s="79" t="s">
        <v>288</v>
      </c>
      <c r="C13" s="79"/>
      <c r="D13" s="79"/>
      <c r="E13" s="79"/>
      <c r="F13" s="79"/>
      <c r="G13" s="79"/>
      <c r="H13" s="79"/>
      <c r="I13" s="79"/>
      <c r="J13" s="79"/>
      <c r="K13" s="79"/>
    </row>
    <row r="14" spans="1:11" s="29" customFormat="1" ht="13.5">
      <c r="A14" s="79"/>
      <c r="B14" s="79"/>
      <c r="C14" s="79" t="s">
        <v>52</v>
      </c>
      <c r="D14" s="79"/>
      <c r="E14" s="79"/>
      <c r="F14" s="79"/>
      <c r="G14" s="79"/>
      <c r="H14" s="79"/>
      <c r="I14" s="79"/>
      <c r="J14" s="79"/>
      <c r="K14" s="79"/>
    </row>
    <row r="15" spans="1:11" s="29" customFormat="1" ht="13.5">
      <c r="A15" s="79"/>
      <c r="B15" s="79" t="s">
        <v>289</v>
      </c>
      <c r="C15" s="79"/>
      <c r="D15" s="79"/>
      <c r="E15" s="79"/>
      <c r="F15" s="79"/>
      <c r="G15" s="79"/>
      <c r="H15" s="79"/>
      <c r="I15" s="79"/>
      <c r="J15" s="79"/>
      <c r="K15" s="79"/>
    </row>
    <row r="16" spans="1:11" s="29" customFormat="1" ht="13.5">
      <c r="A16" s="79"/>
      <c r="B16" s="79"/>
      <c r="C16" s="79" t="s">
        <v>53</v>
      </c>
      <c r="D16" s="79"/>
      <c r="E16" s="79"/>
      <c r="F16" s="79"/>
      <c r="G16" s="79"/>
      <c r="H16" s="79"/>
      <c r="I16" s="79"/>
      <c r="J16" s="79"/>
      <c r="K16" s="79"/>
    </row>
    <row r="17" spans="1:11" s="29" customFormat="1" ht="13.5">
      <c r="A17" s="79"/>
      <c r="B17" s="79" t="s">
        <v>290</v>
      </c>
      <c r="C17" s="79"/>
      <c r="D17" s="79"/>
      <c r="E17" s="79"/>
      <c r="F17" s="79"/>
      <c r="G17" s="79"/>
      <c r="H17" s="79"/>
      <c r="I17" s="79"/>
      <c r="J17" s="79"/>
      <c r="K17" s="79"/>
    </row>
    <row r="18" spans="1:11" s="29" customFormat="1" ht="13.5">
      <c r="A18" s="79"/>
      <c r="B18" s="79"/>
      <c r="C18" s="79" t="s">
        <v>54</v>
      </c>
      <c r="D18" s="79"/>
      <c r="E18" s="79"/>
      <c r="F18" s="79"/>
      <c r="G18" s="79"/>
      <c r="H18" s="79"/>
      <c r="I18" s="79"/>
      <c r="J18" s="79"/>
      <c r="K18" s="79"/>
    </row>
    <row r="19" spans="1:11" ht="25.5" customHeight="1">
      <c r="A19" s="78" t="s">
        <v>220</v>
      </c>
      <c r="B19" s="79"/>
      <c r="C19" s="79"/>
      <c r="D19" s="79"/>
      <c r="E19" s="79"/>
      <c r="F19" s="79"/>
      <c r="G19" s="79"/>
      <c r="H19" s="79"/>
      <c r="I19" s="79"/>
      <c r="J19" s="79"/>
      <c r="K19" s="79"/>
    </row>
    <row r="20" spans="1:11" s="29" customFormat="1" ht="13.5">
      <c r="A20" s="79"/>
      <c r="B20" s="117" t="s">
        <v>428</v>
      </c>
      <c r="C20" s="79"/>
      <c r="D20" s="79"/>
      <c r="E20" s="79"/>
      <c r="F20" s="79"/>
      <c r="G20" s="79"/>
      <c r="H20" s="79"/>
      <c r="I20" s="79"/>
      <c r="J20" s="79"/>
      <c r="K20" s="79"/>
    </row>
    <row r="21" spans="1:11" s="29" customFormat="1" ht="13.5">
      <c r="A21" s="79"/>
      <c r="B21" s="79"/>
      <c r="C21" s="117" t="s">
        <v>393</v>
      </c>
      <c r="D21" s="79"/>
      <c r="E21" s="79"/>
      <c r="F21" s="79"/>
      <c r="G21" s="79"/>
      <c r="H21" s="79"/>
      <c r="I21" s="79"/>
      <c r="J21" s="79"/>
      <c r="K21" s="79"/>
    </row>
    <row r="22" spans="1:11" s="29" customFormat="1" ht="13.5">
      <c r="A22" s="79"/>
      <c r="B22" s="79" t="s">
        <v>55</v>
      </c>
      <c r="C22" s="79"/>
      <c r="D22" s="79"/>
      <c r="E22" s="79"/>
      <c r="F22" s="79"/>
      <c r="G22" s="79"/>
      <c r="H22" s="79"/>
      <c r="I22" s="79"/>
      <c r="J22" s="79"/>
      <c r="K22" s="79"/>
    </row>
    <row r="23" spans="1:11" s="29" customFormat="1" ht="13.5">
      <c r="A23" s="79"/>
      <c r="B23" s="79"/>
      <c r="C23" s="79" t="s">
        <v>128</v>
      </c>
      <c r="D23" s="79"/>
      <c r="E23" s="79"/>
      <c r="F23" s="79"/>
      <c r="G23" s="79"/>
      <c r="H23" s="79"/>
      <c r="I23" s="79"/>
      <c r="J23" s="79"/>
      <c r="K23" s="79"/>
    </row>
    <row r="24" spans="1:11" s="29" customFormat="1" ht="13.5">
      <c r="A24" s="79"/>
      <c r="B24" s="79" t="s">
        <v>404</v>
      </c>
      <c r="C24" s="79"/>
      <c r="D24" s="79"/>
      <c r="E24" s="79"/>
      <c r="F24" s="79"/>
      <c r="G24" s="79"/>
      <c r="H24" s="79"/>
      <c r="I24" s="79"/>
      <c r="J24" s="79"/>
      <c r="K24" s="79"/>
    </row>
    <row r="25" spans="1:11" s="29" customFormat="1" ht="13.5">
      <c r="A25" s="79"/>
      <c r="B25" s="79"/>
      <c r="C25" s="79" t="s">
        <v>129</v>
      </c>
      <c r="D25" s="79"/>
      <c r="E25" s="79"/>
      <c r="F25" s="79"/>
      <c r="G25" s="79"/>
      <c r="H25" s="79"/>
      <c r="I25" s="79"/>
      <c r="J25" s="79"/>
      <c r="K25" s="79"/>
    </row>
    <row r="26" spans="1:11" s="29" customFormat="1" ht="13.5">
      <c r="A26" s="79"/>
      <c r="B26" s="117" t="s">
        <v>405</v>
      </c>
      <c r="C26" s="79"/>
      <c r="D26" s="79"/>
      <c r="E26" s="79"/>
      <c r="F26" s="79"/>
      <c r="G26" s="79"/>
      <c r="H26" s="79"/>
      <c r="I26" s="79"/>
      <c r="J26" s="79"/>
      <c r="K26" s="79"/>
    </row>
    <row r="27" spans="1:11" s="29" customFormat="1" ht="13.5">
      <c r="A27" s="79"/>
      <c r="B27" s="79"/>
      <c r="C27" s="79" t="s">
        <v>130</v>
      </c>
      <c r="D27" s="79"/>
      <c r="E27" s="79"/>
      <c r="F27" s="79"/>
      <c r="G27" s="79"/>
      <c r="H27" s="79"/>
      <c r="I27" s="79"/>
      <c r="J27" s="79"/>
      <c r="K27" s="79"/>
    </row>
    <row r="28" spans="1:11" s="29" customFormat="1" ht="13.5">
      <c r="A28" s="79"/>
      <c r="B28" s="79" t="s">
        <v>429</v>
      </c>
      <c r="C28" s="79"/>
      <c r="D28" s="79"/>
      <c r="E28" s="79"/>
      <c r="F28" s="79"/>
      <c r="G28" s="79"/>
      <c r="H28" s="79"/>
      <c r="I28" s="79"/>
      <c r="J28" s="79"/>
      <c r="K28" s="79"/>
    </row>
    <row r="29" spans="1:11" s="29" customFormat="1" ht="13.5">
      <c r="A29" s="79"/>
      <c r="B29" s="79"/>
      <c r="C29" s="79" t="s">
        <v>132</v>
      </c>
      <c r="D29" s="79"/>
      <c r="E29" s="79"/>
      <c r="F29" s="79"/>
      <c r="G29" s="79"/>
      <c r="H29" s="79"/>
      <c r="I29" s="79"/>
      <c r="J29" s="79"/>
      <c r="K29" s="79"/>
    </row>
    <row r="30" spans="1:11" s="29" customFormat="1" ht="13.5">
      <c r="A30" s="79"/>
      <c r="B30" s="79"/>
      <c r="C30" s="223" t="s">
        <v>406</v>
      </c>
      <c r="D30" s="79"/>
      <c r="E30" s="79"/>
      <c r="F30" s="79"/>
      <c r="G30" s="79"/>
      <c r="H30" s="79"/>
      <c r="I30" s="79"/>
      <c r="J30" s="79"/>
      <c r="K30" s="79"/>
    </row>
    <row r="31" spans="1:11" s="29" customFormat="1" ht="13.5">
      <c r="A31" s="79"/>
      <c r="B31" s="79"/>
      <c r="C31" s="79" t="s">
        <v>56</v>
      </c>
      <c r="D31" s="79"/>
      <c r="E31" s="79"/>
      <c r="F31" s="79"/>
      <c r="G31" s="79"/>
      <c r="H31" s="79"/>
      <c r="I31" s="79"/>
      <c r="J31" s="79"/>
      <c r="K31" s="79"/>
    </row>
    <row r="32" spans="1:11" s="29" customFormat="1" ht="13.5">
      <c r="A32" s="79"/>
      <c r="B32" s="79"/>
      <c r="C32" s="79"/>
      <c r="D32" s="79" t="s">
        <v>57</v>
      </c>
      <c r="E32" s="79"/>
      <c r="F32" s="79"/>
      <c r="G32" s="79"/>
      <c r="H32" s="79"/>
      <c r="I32" s="79"/>
      <c r="J32" s="79"/>
      <c r="K32" s="79"/>
    </row>
    <row r="33" spans="1:11" s="29" customFormat="1" ht="13.5">
      <c r="A33" s="79"/>
      <c r="B33" s="79"/>
      <c r="C33" s="79"/>
      <c r="D33" s="79" t="s">
        <v>58</v>
      </c>
      <c r="E33" s="79"/>
      <c r="F33" s="79"/>
      <c r="G33" s="79"/>
      <c r="H33" s="79"/>
      <c r="I33" s="79"/>
      <c r="J33" s="79"/>
      <c r="K33" s="79"/>
    </row>
    <row r="34" spans="1:11" s="29" customFormat="1" ht="13.5">
      <c r="A34" s="79"/>
      <c r="B34" s="79"/>
      <c r="C34" s="79"/>
      <c r="D34" s="79" t="s">
        <v>59</v>
      </c>
      <c r="E34" s="79"/>
      <c r="F34" s="79"/>
      <c r="G34" s="79"/>
      <c r="H34" s="79"/>
      <c r="I34" s="79"/>
      <c r="J34" s="79"/>
      <c r="K34" s="79"/>
    </row>
    <row r="35" spans="1:11" s="29" customFormat="1" ht="13.5">
      <c r="A35" s="79"/>
      <c r="B35" s="79"/>
      <c r="C35" s="79"/>
      <c r="D35" s="79" t="s">
        <v>60</v>
      </c>
      <c r="E35" s="79"/>
      <c r="F35" s="79"/>
      <c r="G35" s="79"/>
      <c r="H35" s="79"/>
      <c r="I35" s="79"/>
      <c r="J35" s="79"/>
      <c r="K35" s="79"/>
    </row>
    <row r="36" spans="1:11" s="29" customFormat="1" ht="13.5">
      <c r="A36" s="79"/>
      <c r="B36" s="79" t="s">
        <v>408</v>
      </c>
      <c r="C36" s="79"/>
      <c r="D36" s="79"/>
      <c r="E36" s="79"/>
      <c r="F36" s="79"/>
      <c r="G36" s="79"/>
      <c r="H36" s="79"/>
      <c r="I36" s="79"/>
      <c r="J36" s="79"/>
      <c r="K36" s="79"/>
    </row>
    <row r="37" spans="1:11" s="29" customFormat="1" ht="13.5">
      <c r="A37" s="79"/>
      <c r="B37" s="79"/>
      <c r="C37" s="117" t="s">
        <v>394</v>
      </c>
      <c r="D37" s="79"/>
      <c r="E37" s="79"/>
      <c r="F37" s="79"/>
      <c r="G37" s="79"/>
      <c r="H37" s="79"/>
      <c r="I37" s="79"/>
      <c r="J37" s="79"/>
      <c r="K37" s="79"/>
    </row>
    <row r="38" spans="1:11" s="70" customFormat="1" ht="25.5" customHeight="1">
      <c r="A38" s="79" t="s">
        <v>49</v>
      </c>
      <c r="B38" s="79"/>
      <c r="C38" s="79"/>
      <c r="D38" s="79"/>
      <c r="E38" s="79"/>
      <c r="F38" s="79"/>
      <c r="G38" s="79"/>
      <c r="H38" s="79"/>
      <c r="I38" s="79"/>
      <c r="J38" s="79"/>
      <c r="K38" s="79"/>
    </row>
    <row r="39" spans="1:11" s="29" customFormat="1" ht="13.5">
      <c r="A39" s="79"/>
      <c r="B39" s="79" t="s">
        <v>123</v>
      </c>
      <c r="C39" s="79"/>
      <c r="D39" s="79"/>
      <c r="E39" s="79"/>
      <c r="F39" s="79"/>
      <c r="G39" s="79"/>
      <c r="H39" s="79"/>
      <c r="I39" s="79"/>
      <c r="J39" s="79"/>
      <c r="K39" s="79"/>
    </row>
    <row r="40" spans="1:11" s="29" customFormat="1" ht="13.5">
      <c r="A40" s="79"/>
      <c r="B40" s="515" t="s">
        <v>395</v>
      </c>
      <c r="C40" s="515"/>
      <c r="D40" s="515"/>
      <c r="E40" s="515"/>
      <c r="F40" s="515"/>
      <c r="G40" s="515"/>
      <c r="H40" s="515"/>
      <c r="I40" s="515"/>
      <c r="J40" s="515"/>
      <c r="K40" s="515"/>
    </row>
    <row r="41" spans="1:11" s="70" customFormat="1" ht="25.5" customHeight="1">
      <c r="A41" s="79" t="s">
        <v>50</v>
      </c>
      <c r="B41" s="79"/>
      <c r="C41" s="79"/>
      <c r="D41" s="79"/>
      <c r="E41" s="79"/>
      <c r="F41" s="79"/>
      <c r="G41" s="79"/>
      <c r="H41" s="79"/>
      <c r="I41" s="79"/>
      <c r="J41" s="79"/>
      <c r="K41" s="79"/>
    </row>
    <row r="42" spans="1:11" s="29" customFormat="1" ht="13.5">
      <c r="A42" s="79"/>
      <c r="B42" s="79" t="s">
        <v>124</v>
      </c>
      <c r="C42" s="79"/>
      <c r="D42" s="79"/>
      <c r="E42" s="79"/>
      <c r="F42" s="79"/>
      <c r="G42" s="79"/>
      <c r="H42" s="79"/>
      <c r="I42" s="79"/>
      <c r="J42" s="79"/>
      <c r="K42" s="79"/>
    </row>
    <row r="43" spans="1:11" s="29" customFormat="1" ht="13.5">
      <c r="A43" s="79"/>
      <c r="B43" s="79" t="s">
        <v>125</v>
      </c>
      <c r="C43" s="79"/>
      <c r="D43" s="79"/>
      <c r="E43" s="79"/>
      <c r="F43" s="79"/>
      <c r="G43" s="79"/>
      <c r="H43" s="79"/>
      <c r="I43" s="79"/>
      <c r="J43" s="79"/>
      <c r="K43" s="79"/>
    </row>
    <row r="44" spans="1:11" s="70" customFormat="1" ht="25.5" customHeight="1">
      <c r="A44" s="79" t="s">
        <v>51</v>
      </c>
      <c r="B44" s="79"/>
      <c r="C44" s="79"/>
      <c r="D44" s="79"/>
      <c r="E44" s="79"/>
      <c r="F44" s="79"/>
      <c r="G44" s="79"/>
      <c r="H44" s="79"/>
      <c r="I44" s="79"/>
      <c r="J44" s="79"/>
      <c r="K44" s="79"/>
    </row>
    <row r="45" spans="1:11" s="29" customFormat="1" ht="13.5">
      <c r="A45" s="79"/>
      <c r="B45" s="79" t="s">
        <v>61</v>
      </c>
      <c r="C45" s="79"/>
      <c r="D45" s="79"/>
      <c r="E45" s="79"/>
      <c r="F45" s="79"/>
      <c r="G45" s="79"/>
      <c r="H45" s="79"/>
      <c r="I45" s="79"/>
      <c r="J45" s="79"/>
      <c r="K45" s="79"/>
    </row>
    <row r="46" spans="1:11" s="70" customFormat="1">
      <c r="A46" s="79"/>
      <c r="B46" s="79"/>
      <c r="C46" s="79"/>
      <c r="D46" s="79"/>
      <c r="E46" s="79"/>
      <c r="F46" s="79"/>
      <c r="G46" s="79"/>
      <c r="H46" s="79"/>
      <c r="I46" s="79"/>
      <c r="J46" s="79"/>
      <c r="K46" s="79"/>
    </row>
  </sheetData>
  <mergeCells count="3">
    <mergeCell ref="A1:K1"/>
    <mergeCell ref="B40:K40"/>
    <mergeCell ref="A3:K3"/>
  </mergeCells>
  <phoneticPr fontId="5" type="noConversion"/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/>
    <pageSetUpPr fitToPage="1"/>
  </sheetPr>
  <dimension ref="A1:AD46"/>
  <sheetViews>
    <sheetView view="pageBreakPreview" topLeftCell="B4" zoomScale="90" zoomScaleNormal="85" zoomScaleSheetLayoutView="90" workbookViewId="0">
      <selection activeCell="G22" sqref="G22"/>
    </sheetView>
  </sheetViews>
  <sheetFormatPr defaultColWidth="9" defaultRowHeight="16.5"/>
  <cols>
    <col min="1" max="1" width="4.5" style="121" hidden="1" customWidth="1"/>
    <col min="2" max="2" width="3" style="121" bestFit="1" customWidth="1"/>
    <col min="3" max="3" width="5.125" style="121" customWidth="1"/>
    <col min="4" max="4" width="3.75" style="121" bestFit="1" customWidth="1"/>
    <col min="5" max="5" width="6" style="121" bestFit="1" customWidth="1"/>
    <col min="6" max="6" width="13.875" style="121" bestFit="1" customWidth="1"/>
    <col min="7" max="7" width="31.5" style="123" customWidth="1"/>
    <col min="8" max="8" width="13.75" style="121" customWidth="1"/>
    <col min="9" max="11" width="13.75" style="165" customWidth="1"/>
    <col min="12" max="15" width="13.75" style="121" customWidth="1"/>
    <col min="16" max="16" width="13.75" style="193" customWidth="1"/>
    <col min="17" max="17" width="13.75" style="193" hidden="1" customWidth="1"/>
    <col min="18" max="20" width="13.75" style="121" hidden="1" customWidth="1"/>
    <col min="21" max="21" width="37.75" style="121" bestFit="1" customWidth="1"/>
    <col min="22" max="22" width="25" style="121" customWidth="1"/>
    <col min="23" max="23" width="21.625" style="121" customWidth="1"/>
    <col min="24" max="25" width="22.25" style="121" bestFit="1" customWidth="1"/>
    <col min="26" max="26" width="34.125" style="121" bestFit="1" customWidth="1"/>
    <col min="27" max="27" width="15.625" style="121" bestFit="1" customWidth="1"/>
    <col min="28" max="28" width="13.5" style="121" bestFit="1" customWidth="1"/>
    <col min="29" max="30" width="11.75" style="121" bestFit="1" customWidth="1"/>
    <col min="31" max="16384" width="9" style="121"/>
  </cols>
  <sheetData>
    <row r="1" spans="1:30" ht="43.15" customHeight="1">
      <c r="B1" s="349" t="s">
        <v>407</v>
      </c>
      <c r="C1" s="349"/>
      <c r="D1" s="349"/>
      <c r="E1" s="349"/>
      <c r="F1" s="349"/>
      <c r="G1" s="349"/>
      <c r="H1" s="349"/>
      <c r="I1" s="349"/>
      <c r="J1" s="349"/>
      <c r="K1" s="349"/>
      <c r="L1" s="349"/>
      <c r="M1" s="349"/>
      <c r="N1" s="349"/>
      <c r="O1" s="349"/>
      <c r="P1" s="349"/>
      <c r="Q1" s="349"/>
      <c r="R1" s="349"/>
      <c r="S1" s="349"/>
      <c r="T1" s="349"/>
      <c r="U1" s="349"/>
      <c r="V1" s="224"/>
      <c r="W1" s="224"/>
    </row>
    <row r="2" spans="1:30" ht="43.15" customHeight="1" thickBot="1">
      <c r="A2" s="122"/>
      <c r="B2" s="16"/>
      <c r="C2" s="16"/>
      <c r="D2" s="16"/>
      <c r="E2" s="16"/>
      <c r="F2" s="16"/>
      <c r="H2" s="124"/>
      <c r="I2" s="124"/>
      <c r="J2" s="124"/>
      <c r="K2" s="124"/>
      <c r="L2" s="124"/>
      <c r="M2" s="124"/>
      <c r="N2" s="124"/>
      <c r="O2" s="124"/>
      <c r="P2" s="184"/>
      <c r="Q2" s="184"/>
      <c r="R2" s="125"/>
      <c r="S2" s="125"/>
      <c r="T2" s="125"/>
      <c r="U2" s="221" t="s">
        <v>373</v>
      </c>
      <c r="V2" s="221"/>
      <c r="W2" s="221"/>
    </row>
    <row r="3" spans="1:30" ht="18.75" customHeight="1" thickBot="1">
      <c r="A3" s="350" t="s">
        <v>307</v>
      </c>
      <c r="B3" s="353" t="s">
        <v>308</v>
      </c>
      <c r="C3" s="354"/>
      <c r="D3" s="359" t="s">
        <v>309</v>
      </c>
      <c r="E3" s="360"/>
      <c r="F3" s="360"/>
      <c r="G3" s="360"/>
      <c r="H3" s="360"/>
      <c r="I3" s="360"/>
      <c r="J3" s="360"/>
      <c r="K3" s="360"/>
      <c r="L3" s="360"/>
      <c r="M3" s="360"/>
      <c r="N3" s="360"/>
      <c r="O3" s="360"/>
      <c r="P3" s="361"/>
      <c r="Q3" s="185"/>
      <c r="R3" s="127"/>
      <c r="S3" s="127"/>
      <c r="T3" s="127"/>
      <c r="U3" s="362" t="s">
        <v>0</v>
      </c>
      <c r="V3" s="234"/>
      <c r="W3" s="234"/>
      <c r="X3" s="121" t="s">
        <v>280</v>
      </c>
      <c r="Y3" s="121" t="s">
        <v>283</v>
      </c>
      <c r="Z3" s="121" t="s">
        <v>304</v>
      </c>
    </row>
    <row r="4" spans="1:30" ht="18.75" customHeight="1">
      <c r="A4" s="351"/>
      <c r="B4" s="355"/>
      <c r="C4" s="356"/>
      <c r="D4" s="356" t="s">
        <v>310</v>
      </c>
      <c r="E4" s="356"/>
      <c r="F4" s="356"/>
      <c r="G4" s="356"/>
      <c r="H4" s="372" t="s">
        <v>311</v>
      </c>
      <c r="I4" s="373"/>
      <c r="J4" s="373"/>
      <c r="K4" s="373"/>
      <c r="L4" s="373"/>
      <c r="M4" s="373"/>
      <c r="N4" s="373"/>
      <c r="O4" s="374"/>
      <c r="P4" s="365" t="s">
        <v>369</v>
      </c>
      <c r="Q4" s="367" t="s">
        <v>362</v>
      </c>
      <c r="R4" s="368" t="s">
        <v>241</v>
      </c>
      <c r="S4" s="370" t="s">
        <v>242</v>
      </c>
      <c r="T4" s="371"/>
      <c r="U4" s="363"/>
      <c r="V4" s="234"/>
      <c r="W4" s="234"/>
      <c r="X4" s="121">
        <v>7000</v>
      </c>
      <c r="Y4" s="121">
        <v>2600</v>
      </c>
    </row>
    <row r="5" spans="1:30" ht="18.75" customHeight="1" thickBot="1">
      <c r="A5" s="352"/>
      <c r="B5" s="357"/>
      <c r="C5" s="358"/>
      <c r="D5" s="358"/>
      <c r="E5" s="358"/>
      <c r="F5" s="358"/>
      <c r="G5" s="358"/>
      <c r="H5" s="375" t="s">
        <v>62</v>
      </c>
      <c r="I5" s="376"/>
      <c r="J5" s="376"/>
      <c r="K5" s="376"/>
      <c r="L5" s="376"/>
      <c r="M5" s="376"/>
      <c r="N5" s="376"/>
      <c r="O5" s="377"/>
      <c r="P5" s="366"/>
      <c r="Q5" s="366"/>
      <c r="R5" s="369"/>
      <c r="S5" s="128" t="s">
        <v>312</v>
      </c>
      <c r="T5" s="129" t="s">
        <v>313</v>
      </c>
      <c r="U5" s="364"/>
      <c r="V5" s="234"/>
      <c r="W5" s="234"/>
      <c r="X5" s="121">
        <v>26</v>
      </c>
      <c r="Y5" s="121">
        <v>26</v>
      </c>
    </row>
    <row r="6" spans="1:30" ht="18.75" customHeight="1">
      <c r="A6" s="310" t="s">
        <v>314</v>
      </c>
      <c r="B6" s="313" t="s">
        <v>315</v>
      </c>
      <c r="C6" s="314"/>
      <c r="D6" s="342" t="s">
        <v>316</v>
      </c>
      <c r="E6" s="343" t="s">
        <v>317</v>
      </c>
      <c r="F6" s="344"/>
      <c r="G6" s="347" t="s">
        <v>318</v>
      </c>
      <c r="H6" s="130" t="s">
        <v>319</v>
      </c>
      <c r="I6" s="131" t="s">
        <v>292</v>
      </c>
      <c r="J6" s="131" t="s">
        <v>209</v>
      </c>
      <c r="K6" s="132" t="s">
        <v>196</v>
      </c>
      <c r="L6" s="133" t="s">
        <v>320</v>
      </c>
      <c r="M6" s="133" t="s">
        <v>208</v>
      </c>
      <c r="N6" s="133" t="s">
        <v>427</v>
      </c>
      <c r="O6" s="133" t="s">
        <v>370</v>
      </c>
      <c r="P6" s="186" t="s">
        <v>3</v>
      </c>
      <c r="Q6" s="187" t="s">
        <v>363</v>
      </c>
      <c r="R6" s="336" t="s">
        <v>321</v>
      </c>
      <c r="S6" s="338"/>
      <c r="T6" s="340" t="s">
        <v>247</v>
      </c>
      <c r="U6" s="134"/>
      <c r="V6" s="235"/>
      <c r="W6" s="235"/>
      <c r="X6" s="121">
        <f>X4*X5</f>
        <v>182000</v>
      </c>
      <c r="Y6" s="121">
        <f>Y4*Y5</f>
        <v>67600</v>
      </c>
    </row>
    <row r="7" spans="1:30" ht="18.75" customHeight="1">
      <c r="A7" s="311"/>
      <c r="B7" s="315"/>
      <c r="C7" s="316"/>
      <c r="D7" s="325"/>
      <c r="E7" s="345"/>
      <c r="F7" s="346"/>
      <c r="G7" s="348"/>
      <c r="H7" s="120">
        <f>'3. 2021년 하반기 중소제조업 직종별 임금조사 반영'!C6</f>
        <v>119345</v>
      </c>
      <c r="I7" s="120">
        <f>'3. 2021년 하반기 중소제조업 직종별 임금조사 반영'!C7</f>
        <v>113564</v>
      </c>
      <c r="J7" s="120">
        <f>'3. 2021년 하반기 중소제조업 직종별 임금조사 반영'!C8</f>
        <v>105147</v>
      </c>
      <c r="K7" s="120">
        <f>'3. 2021년 하반기 중소제조업 직종별 임금조사 반영'!C9</f>
        <v>81196</v>
      </c>
      <c r="L7" s="120">
        <f>'3. 2021년 하반기 중소제조업 직종별 임금조사 반영'!C9</f>
        <v>81196</v>
      </c>
      <c r="M7" s="120">
        <f>'3. 2021년 하반기 중소제조업 직종별 임금조사 반영'!C10</f>
        <v>81196</v>
      </c>
      <c r="N7" s="120">
        <f>'3. 2021년 하반기 중소제조업 직종별 임금조사 반영'!C11</f>
        <v>104306</v>
      </c>
      <c r="O7" s="120">
        <f>'3. 2021년 하반기 중소제조업 직종별 임금조사 반영'!C12</f>
        <v>102759</v>
      </c>
      <c r="P7" s="188"/>
      <c r="Q7" s="177"/>
      <c r="R7" s="337"/>
      <c r="S7" s="339"/>
      <c r="T7" s="341"/>
      <c r="U7" s="135" t="s">
        <v>411</v>
      </c>
      <c r="V7" s="236"/>
      <c r="W7" s="236"/>
      <c r="Z7" s="121" t="s">
        <v>198</v>
      </c>
      <c r="AA7" s="126" t="s">
        <v>257</v>
      </c>
      <c r="AB7" s="136" t="s">
        <v>281</v>
      </c>
      <c r="AC7" s="136" t="s">
        <v>282</v>
      </c>
      <c r="AD7" s="136" t="s">
        <v>283</v>
      </c>
    </row>
    <row r="8" spans="1:30" ht="18.75" customHeight="1">
      <c r="A8" s="311"/>
      <c r="B8" s="315"/>
      <c r="C8" s="316"/>
      <c r="D8" s="325"/>
      <c r="E8" s="306" t="s">
        <v>348</v>
      </c>
      <c r="F8" s="307"/>
      <c r="G8" s="308"/>
      <c r="H8" s="93">
        <f>H7*26</f>
        <v>3102970</v>
      </c>
      <c r="I8" s="93">
        <f t="shared" ref="I8:O8" si="0">I7*26</f>
        <v>2952664</v>
      </c>
      <c r="J8" s="93">
        <f t="shared" si="0"/>
        <v>2733822</v>
      </c>
      <c r="K8" s="93">
        <f t="shared" si="0"/>
        <v>2111096</v>
      </c>
      <c r="L8" s="93">
        <f t="shared" si="0"/>
        <v>2111096</v>
      </c>
      <c r="M8" s="93">
        <f t="shared" si="0"/>
        <v>2111096</v>
      </c>
      <c r="N8" s="93">
        <f t="shared" si="0"/>
        <v>2711956</v>
      </c>
      <c r="O8" s="93">
        <f t="shared" si="0"/>
        <v>2671734</v>
      </c>
      <c r="P8" s="178">
        <f>H8*H31+I8*I31+J8*J31+K8*K31+L8*L31+M8*M31+O8*O31+N8*N31</f>
        <v>56906330</v>
      </c>
      <c r="Q8" s="178">
        <f>P8*12</f>
        <v>682875960</v>
      </c>
      <c r="R8" s="171">
        <f>Q8*0.99927</f>
        <v>682377460.54919994</v>
      </c>
      <c r="S8" s="172">
        <f>T8/12</f>
        <v>49913636.647638805</v>
      </c>
      <c r="T8" s="173">
        <f>R8*0.87776</f>
        <v>598963639.77166569</v>
      </c>
      <c r="U8" s="137" t="s">
        <v>285</v>
      </c>
      <c r="V8" s="237"/>
      <c r="W8" s="237"/>
      <c r="X8" s="121" t="s">
        <v>213</v>
      </c>
      <c r="Y8" s="121" t="s">
        <v>213</v>
      </c>
      <c r="Z8" s="138" t="s">
        <v>271</v>
      </c>
      <c r="AA8" s="16">
        <v>107247</v>
      </c>
      <c r="AB8" s="139">
        <v>5</v>
      </c>
      <c r="AC8" s="121">
        <v>8000</v>
      </c>
      <c r="AD8" s="121">
        <v>2600</v>
      </c>
    </row>
    <row r="9" spans="1:30" ht="18.75" customHeight="1">
      <c r="A9" s="311"/>
      <c r="B9" s="315"/>
      <c r="C9" s="316"/>
      <c r="D9" s="325"/>
      <c r="E9" s="305" t="s">
        <v>355</v>
      </c>
      <c r="F9" s="249" t="s">
        <v>356</v>
      </c>
      <c r="G9" s="249" t="s">
        <v>357</v>
      </c>
      <c r="H9" s="250">
        <f>(H8+H13+H26+H27)/209*1.5*AB8</f>
        <v>119593.49282296651</v>
      </c>
      <c r="I9" s="250">
        <f>(I8+AD11+I13)/209*1.5*0</f>
        <v>0</v>
      </c>
      <c r="J9" s="250">
        <f>(J8+J13+J26+J27)/209*1.5*X9</f>
        <v>477873.20095693786</v>
      </c>
      <c r="K9" s="250">
        <f>K8/209*1.5*0</f>
        <v>0</v>
      </c>
      <c r="L9" s="250">
        <f>(L8+L13+L26+L27)/209*1.5*AB9</f>
        <v>83999.928229665064</v>
      </c>
      <c r="M9" s="250">
        <f>(M8+M26+M27)/209*1.5*$Y$9</f>
        <v>375078.71770334931</v>
      </c>
      <c r="N9" s="250">
        <f>(N8+N26+N27)/209*1.5*$Y$9</f>
        <v>485584.69377990428</v>
      </c>
      <c r="O9" s="250">
        <f>(O8+O26+O27)/209*1.5*$Y$9</f>
        <v>478945.17703349283</v>
      </c>
      <c r="P9" s="251">
        <f>H9*H31+I9*I31+J9*J31+K9*K31+L9*L31+M9*M31+O9*O31+N9*N31</f>
        <v>7057584.8038277514</v>
      </c>
      <c r="Q9" s="178">
        <f t="shared" ref="Q9:Q30" si="1">P9*12</f>
        <v>84691017.645933017</v>
      </c>
      <c r="R9" s="171">
        <f t="shared" ref="R9:R37" si="2">Q9*0.99927</f>
        <v>84629193.203051493</v>
      </c>
      <c r="S9" s="172">
        <f t="shared" ref="S9:S37" si="3">T9/12</f>
        <v>6190343.38549254</v>
      </c>
      <c r="T9" s="173">
        <f t="shared" ref="T9:T37" si="4">R9*0.87776</f>
        <v>74284120.625910476</v>
      </c>
      <c r="U9" s="140" t="s">
        <v>306</v>
      </c>
      <c r="V9" s="238"/>
      <c r="W9" s="238"/>
      <c r="X9" s="121">
        <v>23</v>
      </c>
      <c r="Y9" s="121">
        <v>23</v>
      </c>
      <c r="Z9" s="121" t="s">
        <v>201</v>
      </c>
      <c r="AA9" s="16">
        <v>96154</v>
      </c>
      <c r="AB9" s="139">
        <v>5</v>
      </c>
      <c r="AC9" s="139">
        <v>26</v>
      </c>
      <c r="AD9" s="121">
        <v>26</v>
      </c>
    </row>
    <row r="10" spans="1:30" ht="18.75" customHeight="1">
      <c r="A10" s="311"/>
      <c r="B10" s="315"/>
      <c r="C10" s="316"/>
      <c r="D10" s="325"/>
      <c r="E10" s="305"/>
      <c r="F10" s="249" t="s">
        <v>358</v>
      </c>
      <c r="G10" s="249" t="s">
        <v>359</v>
      </c>
      <c r="H10" s="250">
        <f>H8/209*0.5*0</f>
        <v>0</v>
      </c>
      <c r="I10" s="250">
        <f>I8/209*0.5*0</f>
        <v>0</v>
      </c>
      <c r="J10" s="250">
        <f>(J8+J26+J27)/209*0.5*X10</f>
        <v>159291.06698564594</v>
      </c>
      <c r="K10" s="250">
        <f>K8/209*0.5*0</f>
        <v>0</v>
      </c>
      <c r="L10" s="250">
        <f>L8/209*0.5*0</f>
        <v>0</v>
      </c>
      <c r="M10" s="250">
        <f>(M8+M26+M27)/209*0.5*$Y$10</f>
        <v>125026.23923444978</v>
      </c>
      <c r="N10" s="250"/>
      <c r="O10" s="250"/>
      <c r="P10" s="251">
        <f>J10*J31+M10*M31</f>
        <v>1296560.2918660287</v>
      </c>
      <c r="Q10" s="178">
        <f t="shared" si="1"/>
        <v>15558723.502392344</v>
      </c>
      <c r="R10" s="171">
        <f t="shared" si="2"/>
        <v>15547365.634235598</v>
      </c>
      <c r="S10" s="172">
        <f t="shared" si="3"/>
        <v>1137237.9715922198</v>
      </c>
      <c r="T10" s="173">
        <f t="shared" si="4"/>
        <v>13646855.659106638</v>
      </c>
      <c r="U10" s="140" t="s">
        <v>305</v>
      </c>
      <c r="V10" s="238"/>
      <c r="W10" s="238"/>
      <c r="X10" s="121">
        <v>23</v>
      </c>
      <c r="Y10" s="121">
        <v>23</v>
      </c>
      <c r="Z10" s="141" t="s">
        <v>322</v>
      </c>
      <c r="AA10" s="16">
        <v>76130</v>
      </c>
      <c r="AB10" s="139"/>
      <c r="AC10" s="139">
        <f>AC8*AC9</f>
        <v>208000</v>
      </c>
      <c r="AD10" s="121">
        <f>AD8*AD9</f>
        <v>67600</v>
      </c>
    </row>
    <row r="11" spans="1:30" ht="18.75" customHeight="1">
      <c r="A11" s="311"/>
      <c r="B11" s="315"/>
      <c r="C11" s="316"/>
      <c r="D11" s="325"/>
      <c r="E11" s="305"/>
      <c r="F11" s="249" t="s">
        <v>360</v>
      </c>
      <c r="G11" s="252" t="s">
        <v>361</v>
      </c>
      <c r="H11" s="253">
        <f t="shared" ref="H11:O11" si="5">(H8+H26+H27)/209*8*15/12</f>
        <v>159457.99043062201</v>
      </c>
      <c r="I11" s="253">
        <f t="shared" si="5"/>
        <v>152266.31578947368</v>
      </c>
      <c r="J11" s="253">
        <f t="shared" si="5"/>
        <v>138513.97129186604</v>
      </c>
      <c r="K11" s="253">
        <f t="shared" si="5"/>
        <v>111999.90430622008</v>
      </c>
      <c r="L11" s="253">
        <f t="shared" si="5"/>
        <v>111999.90430622008</v>
      </c>
      <c r="M11" s="253">
        <f t="shared" si="5"/>
        <v>108718.46889952155</v>
      </c>
      <c r="N11" s="253">
        <f t="shared" si="5"/>
        <v>140749.18660287082</v>
      </c>
      <c r="O11" s="253">
        <f t="shared" si="5"/>
        <v>138824.68899521531</v>
      </c>
      <c r="P11" s="251">
        <f>H11*H31+I11*I31+J11*J31+K11*K31+L11*L31+M11*M31+O11*O31+N11*N31</f>
        <v>2946040.0956937801</v>
      </c>
      <c r="Q11" s="178">
        <f t="shared" si="1"/>
        <v>35352481.148325361</v>
      </c>
      <c r="R11" s="171">
        <f t="shared" si="2"/>
        <v>35326673.83708708</v>
      </c>
      <c r="S11" s="172">
        <f t="shared" si="3"/>
        <v>2584028.4356034626</v>
      </c>
      <c r="T11" s="173">
        <f t="shared" si="4"/>
        <v>31008341.227241553</v>
      </c>
      <c r="U11" s="143"/>
      <c r="V11" s="235"/>
      <c r="W11" s="235"/>
      <c r="Z11" s="121" t="s">
        <v>232</v>
      </c>
      <c r="AA11" s="16">
        <v>88351</v>
      </c>
      <c r="AD11" s="144">
        <f>AC10+AD10</f>
        <v>275600</v>
      </c>
    </row>
    <row r="12" spans="1:30" ht="18.75" customHeight="1">
      <c r="A12" s="311"/>
      <c r="B12" s="315"/>
      <c r="C12" s="316"/>
      <c r="D12" s="325"/>
      <c r="E12" s="305"/>
      <c r="F12" s="249" t="s">
        <v>347</v>
      </c>
      <c r="G12" s="249"/>
      <c r="H12" s="250">
        <f>SUM(H9:H11)</f>
        <v>279051.48325358855</v>
      </c>
      <c r="I12" s="250">
        <f t="shared" ref="I12:O12" si="6">SUM(I9:I11)</f>
        <v>152266.31578947368</v>
      </c>
      <c r="J12" s="250">
        <f t="shared" si="6"/>
        <v>775678.23923444981</v>
      </c>
      <c r="K12" s="250">
        <f t="shared" si="6"/>
        <v>111999.90430622008</v>
      </c>
      <c r="L12" s="250">
        <f t="shared" si="6"/>
        <v>195999.83253588516</v>
      </c>
      <c r="M12" s="250">
        <f t="shared" si="6"/>
        <v>608823.42583732062</v>
      </c>
      <c r="N12" s="250">
        <f t="shared" si="6"/>
        <v>626333.8803827751</v>
      </c>
      <c r="O12" s="250">
        <f t="shared" si="6"/>
        <v>617769.86602870817</v>
      </c>
      <c r="P12" s="251">
        <f>H12*H31+I12*I31+J12*J31+K12*K31+L12*L31+M12*M31+O12*O31+N12*N31</f>
        <v>11300185.19138756</v>
      </c>
      <c r="Q12" s="178">
        <f t="shared" si="1"/>
        <v>135602222.29665071</v>
      </c>
      <c r="R12" s="171">
        <f t="shared" si="2"/>
        <v>135503232.67437416</v>
      </c>
      <c r="S12" s="172">
        <f t="shared" si="3"/>
        <v>9911609.7926882226</v>
      </c>
      <c r="T12" s="173">
        <f t="shared" si="4"/>
        <v>118939317.51225866</v>
      </c>
      <c r="U12" s="143"/>
      <c r="V12" s="235"/>
      <c r="W12" s="235"/>
      <c r="AA12" s="182"/>
    </row>
    <row r="13" spans="1:30" ht="18.75" customHeight="1">
      <c r="A13" s="311"/>
      <c r="B13" s="315"/>
      <c r="C13" s="316"/>
      <c r="D13" s="325"/>
      <c r="E13" s="309" t="s">
        <v>349</v>
      </c>
      <c r="F13" s="309"/>
      <c r="G13" s="145" t="s">
        <v>350</v>
      </c>
      <c r="H13" s="198">
        <f>H8*0%/12</f>
        <v>0</v>
      </c>
      <c r="I13" s="198">
        <f t="shared" ref="I13:O13" si="7">I8*0%/12</f>
        <v>0</v>
      </c>
      <c r="J13" s="198">
        <f t="shared" si="7"/>
        <v>0</v>
      </c>
      <c r="K13" s="198">
        <f t="shared" si="7"/>
        <v>0</v>
      </c>
      <c r="L13" s="198">
        <f t="shared" si="7"/>
        <v>0</v>
      </c>
      <c r="M13" s="198">
        <f t="shared" si="7"/>
        <v>0</v>
      </c>
      <c r="N13" s="198">
        <f t="shared" si="7"/>
        <v>0</v>
      </c>
      <c r="O13" s="198">
        <f t="shared" si="7"/>
        <v>0</v>
      </c>
      <c r="P13" s="194">
        <f>H13*H31+I13*I31+J13*J31+K13*K31+L13*L31+M13*M31</f>
        <v>0</v>
      </c>
      <c r="Q13" s="178">
        <f t="shared" si="1"/>
        <v>0</v>
      </c>
      <c r="R13" s="171">
        <f t="shared" si="2"/>
        <v>0</v>
      </c>
      <c r="S13" s="172">
        <f t="shared" si="3"/>
        <v>0</v>
      </c>
      <c r="T13" s="173">
        <f t="shared" si="4"/>
        <v>0</v>
      </c>
      <c r="U13" s="146" t="s">
        <v>323</v>
      </c>
      <c r="V13" s="239"/>
      <c r="W13" s="239"/>
      <c r="X13" s="121" t="s">
        <v>252</v>
      </c>
    </row>
    <row r="14" spans="1:30" ht="18.75" customHeight="1">
      <c r="A14" s="311"/>
      <c r="B14" s="315"/>
      <c r="C14" s="316"/>
      <c r="D14" s="325"/>
      <c r="E14" s="309" t="s">
        <v>351</v>
      </c>
      <c r="F14" s="309"/>
      <c r="G14" s="142" t="s">
        <v>352</v>
      </c>
      <c r="H14" s="93">
        <f>(H8+H12+H13)/12</f>
        <v>281835.12360446568</v>
      </c>
      <c r="I14" s="93">
        <f t="shared" ref="I14:O14" si="8">(I8+I12+I13)/12</f>
        <v>258744.19298245615</v>
      </c>
      <c r="J14" s="93">
        <f t="shared" si="8"/>
        <v>292458.3532695375</v>
      </c>
      <c r="K14" s="93">
        <f t="shared" si="8"/>
        <v>185257.99202551832</v>
      </c>
      <c r="L14" s="93">
        <f t="shared" si="8"/>
        <v>192257.9860446571</v>
      </c>
      <c r="M14" s="93">
        <f t="shared" si="8"/>
        <v>226659.95215311006</v>
      </c>
      <c r="N14" s="93">
        <f t="shared" si="8"/>
        <v>278190.82336523128</v>
      </c>
      <c r="O14" s="93">
        <f t="shared" si="8"/>
        <v>274125.32216905901</v>
      </c>
      <c r="P14" s="178">
        <f>H14*H31+I14*I31+J14*J31+K14*K31+L14*L31+M14*M31+O14*O31+N14*N31</f>
        <v>5683876.2659489634</v>
      </c>
      <c r="Q14" s="178">
        <f t="shared" si="1"/>
        <v>68206515.191387564</v>
      </c>
      <c r="R14" s="171">
        <f t="shared" si="2"/>
        <v>68156724.435297847</v>
      </c>
      <c r="S14" s="172">
        <f t="shared" si="3"/>
        <v>4985437.2033605864</v>
      </c>
      <c r="T14" s="173">
        <f t="shared" si="4"/>
        <v>59825246.440327033</v>
      </c>
      <c r="U14" s="147"/>
      <c r="V14" s="240"/>
      <c r="W14" s="240"/>
      <c r="X14" s="121" t="s">
        <v>324</v>
      </c>
    </row>
    <row r="15" spans="1:30" ht="18.75" customHeight="1">
      <c r="A15" s="311"/>
      <c r="B15" s="315"/>
      <c r="C15" s="316"/>
      <c r="D15" s="333" t="s">
        <v>353</v>
      </c>
      <c r="E15" s="334"/>
      <c r="F15" s="334"/>
      <c r="G15" s="335"/>
      <c r="H15" s="183">
        <f t="shared" ref="H15:O15" si="9">H8+H12+H14+H13</f>
        <v>3663856.6068580542</v>
      </c>
      <c r="I15" s="183">
        <f t="shared" si="9"/>
        <v>3363674.5087719299</v>
      </c>
      <c r="J15" s="183">
        <f t="shared" si="9"/>
        <v>3801958.5925039873</v>
      </c>
      <c r="K15" s="183">
        <f>K8+K12+K14+K13</f>
        <v>2408353.8963317382</v>
      </c>
      <c r="L15" s="183">
        <f t="shared" si="9"/>
        <v>2499353.8185805422</v>
      </c>
      <c r="M15" s="183">
        <f t="shared" si="9"/>
        <v>2946579.3779904307</v>
      </c>
      <c r="N15" s="183">
        <f t="shared" si="9"/>
        <v>3616480.7037480064</v>
      </c>
      <c r="O15" s="183">
        <f t="shared" si="9"/>
        <v>3563629.1881977674</v>
      </c>
      <c r="P15" s="183"/>
      <c r="Q15" s="183">
        <f t="shared" si="1"/>
        <v>0</v>
      </c>
      <c r="R15" s="179">
        <f t="shared" si="2"/>
        <v>0</v>
      </c>
      <c r="S15" s="180">
        <f t="shared" si="3"/>
        <v>0</v>
      </c>
      <c r="T15" s="181">
        <f t="shared" si="4"/>
        <v>0</v>
      </c>
      <c r="U15" s="148"/>
      <c r="V15" s="241"/>
      <c r="W15" s="241"/>
    </row>
    <row r="16" spans="1:30" ht="18.75" customHeight="1">
      <c r="A16" s="311"/>
      <c r="B16" s="315"/>
      <c r="C16" s="316"/>
      <c r="D16" s="333" t="s">
        <v>354</v>
      </c>
      <c r="E16" s="334"/>
      <c r="F16" s="334"/>
      <c r="G16" s="335"/>
      <c r="H16" s="183">
        <f>H15*H31</f>
        <v>3663856.6068580542</v>
      </c>
      <c r="I16" s="183">
        <f t="shared" ref="I16:O16" si="10">I15*I31</f>
        <v>3363674.5087719299</v>
      </c>
      <c r="J16" s="183">
        <f t="shared" si="10"/>
        <v>19009792.962519936</v>
      </c>
      <c r="K16" s="183">
        <f t="shared" si="10"/>
        <v>9633415.5853269529</v>
      </c>
      <c r="L16" s="183">
        <f t="shared" si="10"/>
        <v>4998707.6371610845</v>
      </c>
      <c r="M16" s="183">
        <f t="shared" si="10"/>
        <v>11786317.511961723</v>
      </c>
      <c r="N16" s="183">
        <f t="shared" si="10"/>
        <v>3616480.7037480064</v>
      </c>
      <c r="O16" s="183">
        <f t="shared" si="10"/>
        <v>17818145.940988839</v>
      </c>
      <c r="P16" s="183">
        <f>SUM(P8,P12,P13,P14)</f>
        <v>73890391.45733653</v>
      </c>
      <c r="Q16" s="183">
        <f t="shared" ref="Q16" si="11">P16*12</f>
        <v>886684697.4880383</v>
      </c>
      <c r="R16" s="179">
        <f t="shared" ref="R16" si="12">Q16*0.99927</f>
        <v>886037417.65887201</v>
      </c>
      <c r="S16" s="180">
        <f t="shared" ref="S16" si="13">T16/12</f>
        <v>64810683.643687628</v>
      </c>
      <c r="T16" s="181">
        <f t="shared" ref="T16" si="14">R16*0.87776</f>
        <v>777728203.72425151</v>
      </c>
      <c r="U16" s="148"/>
      <c r="V16" s="241"/>
      <c r="W16" s="241"/>
    </row>
    <row r="17" spans="1:28" ht="18.75" customHeight="1">
      <c r="A17" s="311"/>
      <c r="B17" s="315"/>
      <c r="C17" s="316"/>
      <c r="D17" s="325" t="s">
        <v>325</v>
      </c>
      <c r="E17" s="326" t="s">
        <v>326</v>
      </c>
      <c r="F17" s="231" t="s">
        <v>327</v>
      </c>
      <c r="G17" s="225" t="s">
        <v>430</v>
      </c>
      <c r="H17" s="226">
        <f t="shared" ref="H17:O17" si="15">(H$8+H$12+H13)*0.9%</f>
        <v>30438.193349282301</v>
      </c>
      <c r="I17" s="226">
        <f t="shared" si="15"/>
        <v>27944.372842105266</v>
      </c>
      <c r="J17" s="226">
        <f t="shared" si="15"/>
        <v>31585.502153110054</v>
      </c>
      <c r="K17" s="226">
        <f t="shared" si="15"/>
        <v>20007.86313875598</v>
      </c>
      <c r="L17" s="226">
        <f t="shared" si="15"/>
        <v>20763.862492822969</v>
      </c>
      <c r="M17" s="226">
        <f t="shared" si="15"/>
        <v>24479.274832535888</v>
      </c>
      <c r="N17" s="226">
        <f t="shared" si="15"/>
        <v>30044.608923444983</v>
      </c>
      <c r="O17" s="226">
        <f t="shared" si="15"/>
        <v>29605.534794258379</v>
      </c>
      <c r="P17" s="227">
        <f t="shared" ref="P17" si="16">(P$8+P$12+P13)*0.76%</f>
        <v>518369.5154545455</v>
      </c>
      <c r="Q17" s="227">
        <f t="shared" si="1"/>
        <v>6220434.1854545455</v>
      </c>
      <c r="R17" s="228">
        <f t="shared" si="2"/>
        <v>6215893.2684991639</v>
      </c>
      <c r="S17" s="229">
        <f t="shared" si="3"/>
        <v>454671.87294648547</v>
      </c>
      <c r="T17" s="230">
        <f t="shared" si="4"/>
        <v>5456062.4753578259</v>
      </c>
      <c r="U17" s="254" t="s">
        <v>413</v>
      </c>
      <c r="V17" s="242"/>
      <c r="W17" s="242"/>
      <c r="X17" s="121" t="s">
        <v>248</v>
      </c>
      <c r="AA17" s="139"/>
    </row>
    <row r="18" spans="1:28" ht="18.75" customHeight="1">
      <c r="A18" s="311"/>
      <c r="B18" s="315"/>
      <c r="C18" s="316"/>
      <c r="D18" s="325"/>
      <c r="E18" s="326"/>
      <c r="F18" s="149" t="s">
        <v>328</v>
      </c>
      <c r="G18" s="150" t="s">
        <v>414</v>
      </c>
      <c r="H18" s="222">
        <f t="shared" ref="H18:O18" si="17">(H$8+H$12+H13)*0.8%</f>
        <v>27056.171866028708</v>
      </c>
      <c r="I18" s="222">
        <f t="shared" si="17"/>
        <v>24839.44252631579</v>
      </c>
      <c r="J18" s="222">
        <f t="shared" si="17"/>
        <v>28076.0019138756</v>
      </c>
      <c r="K18" s="222">
        <f t="shared" si="17"/>
        <v>17784.767234449759</v>
      </c>
      <c r="L18" s="222">
        <f t="shared" si="17"/>
        <v>18456.766660287081</v>
      </c>
      <c r="M18" s="222">
        <f t="shared" si="17"/>
        <v>21759.355406698567</v>
      </c>
      <c r="N18" s="222">
        <f t="shared" si="17"/>
        <v>26706.319043062202</v>
      </c>
      <c r="O18" s="222">
        <f t="shared" si="17"/>
        <v>26316.030928229669</v>
      </c>
      <c r="P18" s="189">
        <f>H18*H31+I18*I31+J18*J31+K18*K31+L18*L31+M18*M31+N18*N31+O18*O31</f>
        <v>545652.12153110048</v>
      </c>
      <c r="Q18" s="190">
        <f t="shared" si="1"/>
        <v>6547825.4583732057</v>
      </c>
      <c r="R18" s="171">
        <f t="shared" si="2"/>
        <v>6543045.5457885936</v>
      </c>
      <c r="S18" s="172">
        <f t="shared" si="3"/>
        <v>478601.97152261628</v>
      </c>
      <c r="T18" s="173">
        <f t="shared" si="4"/>
        <v>5743223.6582713956</v>
      </c>
      <c r="U18" s="330" t="s">
        <v>372</v>
      </c>
      <c r="V18" s="243"/>
      <c r="W18" s="243"/>
    </row>
    <row r="19" spans="1:28" ht="18.75" customHeight="1">
      <c r="A19" s="311"/>
      <c r="B19" s="315"/>
      <c r="C19" s="316"/>
      <c r="D19" s="325"/>
      <c r="E19" s="326"/>
      <c r="F19" s="149" t="s">
        <v>329</v>
      </c>
      <c r="G19" s="150" t="s">
        <v>330</v>
      </c>
      <c r="H19" s="95">
        <f t="shared" ref="H19:M19" si="18">(H$8+H$12+H13)*0.0025</f>
        <v>8455.0537081339717</v>
      </c>
      <c r="I19" s="95">
        <f t="shared" si="18"/>
        <v>7762.3257894736844</v>
      </c>
      <c r="J19" s="95">
        <f t="shared" si="18"/>
        <v>8773.7505980861242</v>
      </c>
      <c r="K19" s="95">
        <f t="shared" si="18"/>
        <v>5557.7397607655503</v>
      </c>
      <c r="L19" s="95">
        <f t="shared" si="18"/>
        <v>5767.7395813397134</v>
      </c>
      <c r="M19" s="95">
        <f t="shared" si="18"/>
        <v>6799.7985645933022</v>
      </c>
      <c r="N19" s="95">
        <f t="shared" ref="N19" si="19">(N$8+N$12+N13)*0.0025</f>
        <v>8345.7247009569382</v>
      </c>
      <c r="O19" s="95">
        <f t="shared" ref="O19" si="20">(O$8+O$12+O13)*0.0025</f>
        <v>8223.7596650717715</v>
      </c>
      <c r="P19" s="189">
        <f>H19*H31+I19*I31+J19*J31+K19*K31+L19*L31+M19*M31+N19*N31+O19*O31</f>
        <v>170516.28797846893</v>
      </c>
      <c r="Q19" s="190">
        <f t="shared" si="1"/>
        <v>2046195.4557416271</v>
      </c>
      <c r="R19" s="171">
        <f t="shared" si="2"/>
        <v>2044701.7330589357</v>
      </c>
      <c r="S19" s="172">
        <f t="shared" si="3"/>
        <v>149563.1161008176</v>
      </c>
      <c r="T19" s="173">
        <f t="shared" si="4"/>
        <v>1794757.3932098113</v>
      </c>
      <c r="U19" s="331"/>
      <c r="V19" s="243"/>
      <c r="W19" s="243"/>
    </row>
    <row r="20" spans="1:28" ht="18.75" customHeight="1">
      <c r="A20" s="311"/>
      <c r="B20" s="315"/>
      <c r="C20" s="316"/>
      <c r="D20" s="325"/>
      <c r="E20" s="326"/>
      <c r="F20" s="149" t="s">
        <v>331</v>
      </c>
      <c r="G20" s="150" t="s">
        <v>239</v>
      </c>
      <c r="H20" s="95">
        <f t="shared" ref="H20:M20" si="21">(H$8+H$12+H13)*0.06%</f>
        <v>2029.2128899521529</v>
      </c>
      <c r="I20" s="95">
        <f t="shared" si="21"/>
        <v>1862.9581894736841</v>
      </c>
      <c r="J20" s="95">
        <f t="shared" si="21"/>
        <v>2105.7001435406696</v>
      </c>
      <c r="K20" s="95">
        <f t="shared" si="21"/>
        <v>1333.8575425837319</v>
      </c>
      <c r="L20" s="95">
        <f t="shared" si="21"/>
        <v>1384.2574995215311</v>
      </c>
      <c r="M20" s="95">
        <f t="shared" si="21"/>
        <v>1631.9516555023922</v>
      </c>
      <c r="N20" s="95">
        <f t="shared" ref="N20" si="22">(N$8+N$12+N13)*0.06%</f>
        <v>2002.973928229665</v>
      </c>
      <c r="O20" s="95">
        <f t="shared" ref="O20" si="23">(O$8+O$12+O13)*0.06%</f>
        <v>1973.7023196172249</v>
      </c>
      <c r="P20" s="189">
        <f>H20*H31+I20*I31+J20*J31+K20*K31+L20*L31+M20*M31+N20*N31+O20*O31</f>
        <v>40923.909114832531</v>
      </c>
      <c r="Q20" s="190">
        <f t="shared" si="1"/>
        <v>491086.90937799041</v>
      </c>
      <c r="R20" s="171">
        <f t="shared" si="2"/>
        <v>490728.41593414446</v>
      </c>
      <c r="S20" s="172">
        <f t="shared" si="3"/>
        <v>35895.147864196224</v>
      </c>
      <c r="T20" s="173">
        <f t="shared" si="4"/>
        <v>430741.77437035466</v>
      </c>
      <c r="U20" s="151" t="s">
        <v>332</v>
      </c>
      <c r="V20" s="244"/>
      <c r="W20" s="244"/>
      <c r="X20" s="152"/>
      <c r="Y20" s="152"/>
    </row>
    <row r="21" spans="1:28" ht="18.75" customHeight="1">
      <c r="A21" s="311"/>
      <c r="B21" s="315"/>
      <c r="C21" s="316"/>
      <c r="D21" s="325"/>
      <c r="E21" s="326"/>
      <c r="F21" s="149" t="s">
        <v>333</v>
      </c>
      <c r="G21" s="150" t="s">
        <v>240</v>
      </c>
      <c r="H21" s="95">
        <f t="shared" ref="H21:M21" si="24">(H$8+H$12+H13)*4.5%</f>
        <v>152190.96674641146</v>
      </c>
      <c r="I21" s="95">
        <f t="shared" si="24"/>
        <v>139721.86421052631</v>
      </c>
      <c r="J21" s="95">
        <f t="shared" si="24"/>
        <v>157927.51076555022</v>
      </c>
      <c r="K21" s="95">
        <f t="shared" si="24"/>
        <v>100039.31569377989</v>
      </c>
      <c r="L21" s="95">
        <f t="shared" si="24"/>
        <v>103819.31246411483</v>
      </c>
      <c r="M21" s="95">
        <f t="shared" si="24"/>
        <v>122396.37416267942</v>
      </c>
      <c r="N21" s="95">
        <f t="shared" ref="N21" si="25">(N$8+N$12+N13)*4.5%</f>
        <v>150223.04461722489</v>
      </c>
      <c r="O21" s="95">
        <f t="shared" ref="O21" si="26">(O$8+O$12+O13)*4.5%</f>
        <v>148027.67397129186</v>
      </c>
      <c r="P21" s="189">
        <f>H21*H31+I21*I31+J21*J31+K21*K31+L21*L31+M21*M31+N21*N31+O21*O31</f>
        <v>3069293.1836124398</v>
      </c>
      <c r="Q21" s="190">
        <f t="shared" si="1"/>
        <v>36831518.203349277</v>
      </c>
      <c r="R21" s="171">
        <f t="shared" si="2"/>
        <v>36804631.195060834</v>
      </c>
      <c r="S21" s="172">
        <f t="shared" si="3"/>
        <v>2692136.0898147165</v>
      </c>
      <c r="T21" s="173">
        <f t="shared" si="4"/>
        <v>32305633.077776596</v>
      </c>
      <c r="U21" s="151" t="s">
        <v>134</v>
      </c>
      <c r="V21" s="244"/>
      <c r="W21" s="244"/>
      <c r="X21" s="126"/>
      <c r="Y21" s="126"/>
    </row>
    <row r="22" spans="1:28" ht="18.75" customHeight="1">
      <c r="A22" s="311"/>
      <c r="B22" s="315"/>
      <c r="C22" s="316"/>
      <c r="D22" s="325"/>
      <c r="E22" s="326"/>
      <c r="F22" s="150" t="s">
        <v>334</v>
      </c>
      <c r="G22" s="150" t="s">
        <v>410</v>
      </c>
      <c r="H22" s="222">
        <f t="shared" ref="H22:O22" si="27">(H$8+H$12+H13)*3.43%</f>
        <v>116003.33687559809</v>
      </c>
      <c r="I22" s="222">
        <f t="shared" si="27"/>
        <v>106499.10983157896</v>
      </c>
      <c r="J22" s="222">
        <f t="shared" si="27"/>
        <v>120375.85820574165</v>
      </c>
      <c r="K22" s="222">
        <f t="shared" si="27"/>
        <v>76252.189517703358</v>
      </c>
      <c r="L22" s="222">
        <f t="shared" si="27"/>
        <v>79133.387055980871</v>
      </c>
      <c r="M22" s="222">
        <f t="shared" si="27"/>
        <v>93293.236306220118</v>
      </c>
      <c r="N22" s="222">
        <f t="shared" si="27"/>
        <v>114503.3428971292</v>
      </c>
      <c r="O22" s="222">
        <f t="shared" si="27"/>
        <v>112829.98260478472</v>
      </c>
      <c r="P22" s="189">
        <f>H22*H31+I22*I31+J22*J31+K22*K31+L22*L31+M22*M31+N22*N31+O22*O31</f>
        <v>2339483.4710645936</v>
      </c>
      <c r="Q22" s="190">
        <f t="shared" si="1"/>
        <v>28073801.652775124</v>
      </c>
      <c r="R22" s="171">
        <f t="shared" si="2"/>
        <v>28053307.777568597</v>
      </c>
      <c r="S22" s="172">
        <f t="shared" si="3"/>
        <v>2052005.9529032176</v>
      </c>
      <c r="T22" s="173">
        <f t="shared" si="4"/>
        <v>24624071.434838612</v>
      </c>
      <c r="U22" s="151" t="s">
        <v>135</v>
      </c>
      <c r="V22" s="244"/>
      <c r="W22" s="244"/>
      <c r="X22" s="301" t="s">
        <v>249</v>
      </c>
      <c r="Y22" s="332"/>
    </row>
    <row r="23" spans="1:28" ht="18.75" customHeight="1">
      <c r="A23" s="311"/>
      <c r="B23" s="315"/>
      <c r="C23" s="316"/>
      <c r="D23" s="325"/>
      <c r="E23" s="326"/>
      <c r="F23" s="150" t="s">
        <v>335</v>
      </c>
      <c r="G23" s="150" t="s">
        <v>409</v>
      </c>
      <c r="H23" s="95">
        <f t="shared" ref="H23:O23" si="28">H22*11.52%</f>
        <v>13363.5844080689</v>
      </c>
      <c r="I23" s="95">
        <f t="shared" si="28"/>
        <v>12268.697452597895</v>
      </c>
      <c r="J23" s="95">
        <f t="shared" si="28"/>
        <v>13867.298865301438</v>
      </c>
      <c r="K23" s="95">
        <f t="shared" si="28"/>
        <v>8784.2522324394267</v>
      </c>
      <c r="L23" s="95">
        <f t="shared" si="28"/>
        <v>9116.1661888489962</v>
      </c>
      <c r="M23" s="95">
        <f t="shared" si="28"/>
        <v>10747.380822476558</v>
      </c>
      <c r="N23" s="95">
        <f t="shared" si="28"/>
        <v>13190.785101749283</v>
      </c>
      <c r="O23" s="95">
        <f t="shared" si="28"/>
        <v>12998.013996071199</v>
      </c>
      <c r="P23" s="189">
        <f>H23*H31+I23*I31+J23*J31+K23*K31+L23*L31+M23*M31+N23*N31+O23*O31</f>
        <v>269508.49586664123</v>
      </c>
      <c r="Q23" s="190">
        <f t="shared" si="1"/>
        <v>3234101.950399695</v>
      </c>
      <c r="R23" s="171">
        <f t="shared" si="2"/>
        <v>3231741.0559759033</v>
      </c>
      <c r="S23" s="172">
        <f t="shared" si="3"/>
        <v>236391.08577445071</v>
      </c>
      <c r="T23" s="173">
        <f t="shared" si="4"/>
        <v>2836693.0292934086</v>
      </c>
      <c r="U23" s="151" t="s">
        <v>131</v>
      </c>
      <c r="V23" s="244" t="s">
        <v>400</v>
      </c>
      <c r="W23" s="244"/>
      <c r="X23" s="301" t="s">
        <v>250</v>
      </c>
      <c r="Y23" s="332"/>
    </row>
    <row r="24" spans="1:28" ht="18.75" customHeight="1">
      <c r="A24" s="311"/>
      <c r="B24" s="315"/>
      <c r="C24" s="316"/>
      <c r="D24" s="325"/>
      <c r="E24" s="326" t="s">
        <v>336</v>
      </c>
      <c r="F24" s="149" t="s">
        <v>337</v>
      </c>
      <c r="G24" s="153" t="s">
        <v>366</v>
      </c>
      <c r="H24" s="95">
        <f>X24*2/12</f>
        <v>10000</v>
      </c>
      <c r="I24" s="95">
        <f>X24*2/12</f>
        <v>10000</v>
      </c>
      <c r="J24" s="95">
        <f>X24*2/12</f>
        <v>10000</v>
      </c>
      <c r="K24" s="95">
        <f>X24*2/12</f>
        <v>10000</v>
      </c>
      <c r="L24" s="95">
        <f>X24*2/12</f>
        <v>10000</v>
      </c>
      <c r="M24" s="95">
        <f>X24*2/12</f>
        <v>10000</v>
      </c>
      <c r="N24" s="95">
        <f>X24*2/12</f>
        <v>10000</v>
      </c>
      <c r="O24" s="95">
        <f>X24*2/12</f>
        <v>10000</v>
      </c>
      <c r="P24" s="189">
        <f>H24*H31+I24*I31+J24*J31+K24*K31+L24*L31+M24*M31+N24*N31+O24*O31</f>
        <v>230000</v>
      </c>
      <c r="Q24" s="190">
        <f t="shared" si="1"/>
        <v>2760000</v>
      </c>
      <c r="R24" s="171">
        <f t="shared" si="2"/>
        <v>2757985.2</v>
      </c>
      <c r="S24" s="172">
        <f t="shared" si="3"/>
        <v>201737.424096</v>
      </c>
      <c r="T24" s="173">
        <f t="shared" si="4"/>
        <v>2420849.0891519999</v>
      </c>
      <c r="U24" s="151"/>
      <c r="V24" s="244" t="s">
        <v>401</v>
      </c>
      <c r="W24" s="244"/>
      <c r="X24" s="126">
        <v>60000</v>
      </c>
      <c r="Y24" s="154" t="s">
        <v>256</v>
      </c>
    </row>
    <row r="25" spans="1:28" ht="18.75" customHeight="1">
      <c r="A25" s="311"/>
      <c r="B25" s="315"/>
      <c r="C25" s="316"/>
      <c r="D25" s="325"/>
      <c r="E25" s="326"/>
      <c r="F25" s="149" t="s">
        <v>338</v>
      </c>
      <c r="G25" s="153" t="s">
        <v>339</v>
      </c>
      <c r="H25" s="95">
        <f>X25/12</f>
        <v>5000</v>
      </c>
      <c r="I25" s="95">
        <f>X25/12</f>
        <v>5000</v>
      </c>
      <c r="J25" s="95">
        <f>X25/12</f>
        <v>5000</v>
      </c>
      <c r="K25" s="95">
        <f>X25/12</f>
        <v>5000</v>
      </c>
      <c r="L25" s="95">
        <f>X25/12</f>
        <v>5000</v>
      </c>
      <c r="M25" s="95">
        <f>X25/12</f>
        <v>5000</v>
      </c>
      <c r="N25" s="95">
        <f>X25/12</f>
        <v>5000</v>
      </c>
      <c r="O25" s="95">
        <f>X25/12</f>
        <v>5000</v>
      </c>
      <c r="P25" s="189">
        <f>H25*H31+I25*I31+J25*J31+K25*K31+L25*L31+M25*M31+N25*N31+O25*O31</f>
        <v>115000</v>
      </c>
      <c r="Q25" s="190">
        <f t="shared" si="1"/>
        <v>1380000</v>
      </c>
      <c r="R25" s="171">
        <f t="shared" si="2"/>
        <v>1378992.6</v>
      </c>
      <c r="S25" s="172">
        <f t="shared" si="3"/>
        <v>100868.712048</v>
      </c>
      <c r="T25" s="173">
        <f t="shared" si="4"/>
        <v>1210424.544576</v>
      </c>
      <c r="U25" s="151"/>
      <c r="V25" s="244"/>
      <c r="W25" s="244"/>
      <c r="X25" s="126">
        <v>60000</v>
      </c>
      <c r="Y25" s="154" t="s">
        <v>256</v>
      </c>
      <c r="AA25" s="144"/>
    </row>
    <row r="26" spans="1:28" ht="18.75" customHeight="1">
      <c r="A26" s="311"/>
      <c r="B26" s="315"/>
      <c r="C26" s="316"/>
      <c r="D26" s="325"/>
      <c r="E26" s="326"/>
      <c r="F26" s="232" t="s">
        <v>282</v>
      </c>
      <c r="G26" s="231" t="s">
        <v>396</v>
      </c>
      <c r="H26" s="226">
        <f>8000*21.67</f>
        <v>173360</v>
      </c>
      <c r="I26" s="226">
        <f>8000*21.67</f>
        <v>173360</v>
      </c>
      <c r="J26" s="226">
        <f>8000*15.2</f>
        <v>121600</v>
      </c>
      <c r="K26" s="226">
        <f>8000*21.67</f>
        <v>173360</v>
      </c>
      <c r="L26" s="226">
        <f>8000*21.67</f>
        <v>173360</v>
      </c>
      <c r="M26" s="226">
        <f>8000*15.2</f>
        <v>121600</v>
      </c>
      <c r="N26" s="226">
        <f>8000*21.67</f>
        <v>173360</v>
      </c>
      <c r="O26" s="226">
        <f>8000*21.67</f>
        <v>173360</v>
      </c>
      <c r="P26" s="227">
        <f>H26*H31+I26*I31+J26*J31+K26*K31+L26*L31+M26*M31+N26*N31+O26*O31</f>
        <v>3521440</v>
      </c>
      <c r="Q26" s="227">
        <f t="shared" si="1"/>
        <v>42257280</v>
      </c>
      <c r="R26" s="228">
        <f t="shared" ref="R26:R27" si="29">Q26*0.99927</f>
        <v>42226432.185599998</v>
      </c>
      <c r="S26" s="229">
        <f t="shared" ref="S26:S27" si="30">T26/12</f>
        <v>3088722.7596026878</v>
      </c>
      <c r="T26" s="230">
        <f t="shared" ref="T26:T27" si="31">R26*0.87776</f>
        <v>37064673.115232252</v>
      </c>
      <c r="U26" s="233" t="s">
        <v>398</v>
      </c>
      <c r="V26" s="245"/>
      <c r="W26" s="245"/>
      <c r="X26" s="126"/>
      <c r="Y26" s="154"/>
      <c r="AA26" s="144"/>
    </row>
    <row r="27" spans="1:28" ht="18.75" customHeight="1">
      <c r="A27" s="311"/>
      <c r="B27" s="315"/>
      <c r="C27" s="316"/>
      <c r="D27" s="325"/>
      <c r="E27" s="326"/>
      <c r="F27" s="232" t="s">
        <v>283</v>
      </c>
      <c r="G27" s="231" t="s">
        <v>397</v>
      </c>
      <c r="H27" s="226">
        <f>2600*21.67</f>
        <v>56342.000000000007</v>
      </c>
      <c r="I27" s="226">
        <f>2600*21.67</f>
        <v>56342.000000000007</v>
      </c>
      <c r="J27" s="226">
        <f>2600*15.2</f>
        <v>39520</v>
      </c>
      <c r="K27" s="226">
        <f>2600*21.67</f>
        <v>56342.000000000007</v>
      </c>
      <c r="L27" s="226">
        <f>2600*21.67</f>
        <v>56342.000000000007</v>
      </c>
      <c r="M27" s="226">
        <f>2600*15.2</f>
        <v>39520</v>
      </c>
      <c r="N27" s="226">
        <f>2600*21.67</f>
        <v>56342.000000000007</v>
      </c>
      <c r="O27" s="226">
        <f>2600*21.67</f>
        <v>56342.000000000007</v>
      </c>
      <c r="P27" s="227">
        <f>H27*H31+I27*I31+J27*J31+K27*K31+L27*L31+M27*M31+N27*N31+O27*O31</f>
        <v>1144468</v>
      </c>
      <c r="Q27" s="227">
        <f t="shared" si="1"/>
        <v>13733616</v>
      </c>
      <c r="R27" s="228">
        <f t="shared" si="29"/>
        <v>13723590.46032</v>
      </c>
      <c r="S27" s="229">
        <f t="shared" si="30"/>
        <v>1003834.8968708735</v>
      </c>
      <c r="T27" s="230">
        <f t="shared" si="31"/>
        <v>12046018.762450483</v>
      </c>
      <c r="U27" s="233" t="s">
        <v>399</v>
      </c>
      <c r="V27" s="245"/>
      <c r="W27" s="245"/>
      <c r="X27" s="126"/>
      <c r="Y27" s="154"/>
      <c r="AA27" s="144"/>
    </row>
    <row r="28" spans="1:28" ht="18.75" customHeight="1">
      <c r="A28" s="311"/>
      <c r="B28" s="315"/>
      <c r="C28" s="316"/>
      <c r="D28" s="333" t="s">
        <v>353</v>
      </c>
      <c r="E28" s="334"/>
      <c r="F28" s="334"/>
      <c r="G28" s="335"/>
      <c r="H28" s="183">
        <f t="shared" ref="H28:O28" si="32">SUM(H17:H27)</f>
        <v>594238.51984347566</v>
      </c>
      <c r="I28" s="183">
        <f t="shared" si="32"/>
        <v>565600.77084207162</v>
      </c>
      <c r="J28" s="183">
        <f t="shared" si="32"/>
        <v>538831.6226452057</v>
      </c>
      <c r="K28" s="183">
        <f t="shared" si="32"/>
        <v>474461.98512047774</v>
      </c>
      <c r="L28" s="183">
        <f t="shared" si="32"/>
        <v>483143.49194291595</v>
      </c>
      <c r="M28" s="183">
        <f t="shared" si="32"/>
        <v>457227.37175070628</v>
      </c>
      <c r="N28" s="183">
        <f t="shared" si="32"/>
        <v>589718.79921179719</v>
      </c>
      <c r="O28" s="183">
        <f t="shared" si="32"/>
        <v>584676.6982793248</v>
      </c>
      <c r="P28" s="183"/>
      <c r="Q28" s="183">
        <f>P28*12</f>
        <v>0</v>
      </c>
      <c r="R28" s="174">
        <f t="shared" si="2"/>
        <v>0</v>
      </c>
      <c r="S28" s="175">
        <f t="shared" si="3"/>
        <v>0</v>
      </c>
      <c r="T28" s="176">
        <f t="shared" si="4"/>
        <v>0</v>
      </c>
      <c r="U28" s="148"/>
      <c r="V28" s="241"/>
      <c r="W28" s="241"/>
      <c r="X28" s="126"/>
      <c r="Y28" s="126"/>
      <c r="AA28" s="139"/>
    </row>
    <row r="29" spans="1:28" ht="18.75" customHeight="1">
      <c r="A29" s="311"/>
      <c r="B29" s="315"/>
      <c r="C29" s="316"/>
      <c r="D29" s="333" t="s">
        <v>390</v>
      </c>
      <c r="E29" s="334"/>
      <c r="F29" s="334"/>
      <c r="G29" s="335"/>
      <c r="H29" s="183">
        <f>H28*H31</f>
        <v>594238.51984347566</v>
      </c>
      <c r="I29" s="183">
        <f t="shared" ref="I29:O29" si="33">I28*I31</f>
        <v>565600.77084207162</v>
      </c>
      <c r="J29" s="183">
        <f t="shared" si="33"/>
        <v>2694158.1132260286</v>
      </c>
      <c r="K29" s="183">
        <f t="shared" si="33"/>
        <v>1897847.9404819109</v>
      </c>
      <c r="L29" s="183">
        <f>L28*L31</f>
        <v>966286.9838858319</v>
      </c>
      <c r="M29" s="183">
        <f t="shared" si="33"/>
        <v>1828909.4870028251</v>
      </c>
      <c r="N29" s="183">
        <f t="shared" si="33"/>
        <v>589718.79921179719</v>
      </c>
      <c r="O29" s="183">
        <f t="shared" si="33"/>
        <v>2923383.4913966241</v>
      </c>
      <c r="P29" s="183">
        <f>SUM(H29:O29)</f>
        <v>12060144.105890565</v>
      </c>
      <c r="Q29" s="183">
        <f t="shared" ref="Q29" si="34">P29*12</f>
        <v>144721729.27068678</v>
      </c>
      <c r="R29" s="199">
        <f t="shared" ref="R29" si="35">Q29*0.99927</f>
        <v>144616082.40831918</v>
      </c>
      <c r="S29" s="200">
        <f t="shared" ref="S29" si="36">T29/12</f>
        <v>10578184.37456052</v>
      </c>
      <c r="T29" s="201">
        <f t="shared" ref="T29" si="37">R29*0.87776</f>
        <v>126938212.49472624</v>
      </c>
      <c r="U29" s="148"/>
      <c r="V29" s="241"/>
      <c r="W29" s="241"/>
      <c r="X29" s="126"/>
      <c r="Y29" s="126"/>
      <c r="AA29" s="139"/>
    </row>
    <row r="30" spans="1:28" ht="18.75" customHeight="1">
      <c r="A30" s="311"/>
      <c r="B30" s="315"/>
      <c r="C30" s="316"/>
      <c r="D30" s="327" t="s">
        <v>374</v>
      </c>
      <c r="E30" s="328"/>
      <c r="F30" s="328"/>
      <c r="G30" s="329"/>
      <c r="H30" s="195">
        <f>SUM(H16,H29)</f>
        <v>4258095.1267015301</v>
      </c>
      <c r="I30" s="195">
        <f t="shared" ref="I30:O30" si="38">SUM(I16,I29)</f>
        <v>3929275.2796140015</v>
      </c>
      <c r="J30" s="195">
        <f t="shared" si="38"/>
        <v>21703951.075745966</v>
      </c>
      <c r="K30" s="195">
        <f t="shared" si="38"/>
        <v>11531263.525808863</v>
      </c>
      <c r="L30" s="195">
        <f t="shared" si="38"/>
        <v>5964994.6210469166</v>
      </c>
      <c r="M30" s="195">
        <f t="shared" si="38"/>
        <v>13615226.998964548</v>
      </c>
      <c r="N30" s="195">
        <f t="shared" si="38"/>
        <v>4206199.5029598037</v>
      </c>
      <c r="O30" s="195">
        <f t="shared" si="38"/>
        <v>20741529.432385463</v>
      </c>
      <c r="P30" s="196">
        <f>SUM(H30:O30)</f>
        <v>85950535.563227087</v>
      </c>
      <c r="Q30" s="196">
        <f t="shared" si="1"/>
        <v>1031406426.758725</v>
      </c>
      <c r="R30" s="202">
        <f t="shared" si="2"/>
        <v>1030653500.0671911</v>
      </c>
      <c r="S30" s="203">
        <f t="shared" si="3"/>
        <v>75388868.018248141</v>
      </c>
      <c r="T30" s="204">
        <f t="shared" si="4"/>
        <v>904666416.21897769</v>
      </c>
      <c r="U30" s="197"/>
      <c r="V30" s="246"/>
      <c r="W30" s="246"/>
      <c r="X30" s="126"/>
      <c r="Y30" s="126"/>
      <c r="AA30" s="139"/>
    </row>
    <row r="31" spans="1:28" ht="18.75" customHeight="1">
      <c r="A31" s="311"/>
      <c r="B31" s="315"/>
      <c r="C31" s="316"/>
      <c r="D31" s="302" t="s">
        <v>340</v>
      </c>
      <c r="E31" s="303"/>
      <c r="F31" s="303"/>
      <c r="G31" s="304"/>
      <c r="H31" s="96">
        <v>1</v>
      </c>
      <c r="I31" s="97">
        <v>1</v>
      </c>
      <c r="J31" s="97">
        <v>5</v>
      </c>
      <c r="K31" s="97">
        <v>4</v>
      </c>
      <c r="L31" s="97">
        <v>2</v>
      </c>
      <c r="M31" s="97">
        <v>4</v>
      </c>
      <c r="N31" s="97">
        <v>1</v>
      </c>
      <c r="O31" s="97">
        <v>5</v>
      </c>
      <c r="P31" s="96">
        <f>SUM(H31:O31)</f>
        <v>23</v>
      </c>
      <c r="Q31" s="96"/>
      <c r="R31" s="171">
        <f t="shared" si="2"/>
        <v>0</v>
      </c>
      <c r="S31" s="172">
        <f t="shared" si="3"/>
        <v>0</v>
      </c>
      <c r="T31" s="173">
        <f t="shared" si="4"/>
        <v>0</v>
      </c>
      <c r="U31" s="143"/>
      <c r="V31" s="235"/>
      <c r="W31" s="235"/>
      <c r="X31" s="126"/>
      <c r="Y31" s="126"/>
      <c r="AB31" s="139"/>
    </row>
    <row r="32" spans="1:28" ht="18.75" customHeight="1">
      <c r="A32" s="311"/>
      <c r="B32" s="315"/>
      <c r="C32" s="316"/>
      <c r="D32" s="305" t="s">
        <v>341</v>
      </c>
      <c r="E32" s="306" t="s">
        <v>342</v>
      </c>
      <c r="F32" s="307"/>
      <c r="G32" s="308"/>
      <c r="H32" s="93">
        <f>H30</f>
        <v>4258095.1267015301</v>
      </c>
      <c r="I32" s="93">
        <f t="shared" ref="I32:O32" si="39">I30</f>
        <v>3929275.2796140015</v>
      </c>
      <c r="J32" s="93">
        <f t="shared" si="39"/>
        <v>21703951.075745966</v>
      </c>
      <c r="K32" s="93">
        <f t="shared" si="39"/>
        <v>11531263.525808863</v>
      </c>
      <c r="L32" s="93">
        <f t="shared" si="39"/>
        <v>5964994.6210469166</v>
      </c>
      <c r="M32" s="93">
        <f t="shared" si="39"/>
        <v>13615226.998964548</v>
      </c>
      <c r="N32" s="93">
        <f t="shared" si="39"/>
        <v>4206199.5029598037</v>
      </c>
      <c r="O32" s="93">
        <f t="shared" si="39"/>
        <v>20741529.432385463</v>
      </c>
      <c r="P32" s="191">
        <f t="shared" ref="P32:P37" si="40">SUM(H32:O32)</f>
        <v>85950535.563227087</v>
      </c>
      <c r="Q32" s="178">
        <f>P32*12</f>
        <v>1031406426.758725</v>
      </c>
      <c r="R32" s="171">
        <f t="shared" si="2"/>
        <v>1030653500.0671911</v>
      </c>
      <c r="S32" s="172">
        <f t="shared" si="3"/>
        <v>75388868.018248141</v>
      </c>
      <c r="T32" s="173">
        <f t="shared" si="4"/>
        <v>904666416.21897769</v>
      </c>
      <c r="U32" s="143"/>
      <c r="V32" s="235"/>
      <c r="W32" s="235"/>
      <c r="X32" s="126"/>
      <c r="Y32" s="126"/>
    </row>
    <row r="33" spans="1:25" ht="18.75" customHeight="1">
      <c r="A33" s="311"/>
      <c r="B33" s="315"/>
      <c r="C33" s="316"/>
      <c r="D33" s="305"/>
      <c r="E33" s="309" t="s">
        <v>343</v>
      </c>
      <c r="F33" s="309"/>
      <c r="G33" s="155">
        <v>0.03</v>
      </c>
      <c r="H33" s="99">
        <f>H32*$G$33</f>
        <v>127742.8538010459</v>
      </c>
      <c r="I33" s="99">
        <f t="shared" ref="I33:O33" si="41">I32*$G$33</f>
        <v>117878.25838842004</v>
      </c>
      <c r="J33" s="99">
        <f t="shared" si="41"/>
        <v>651118.53227237891</v>
      </c>
      <c r="K33" s="99">
        <f t="shared" si="41"/>
        <v>345937.90577426588</v>
      </c>
      <c r="L33" s="99">
        <f t="shared" si="41"/>
        <v>178949.8386314075</v>
      </c>
      <c r="M33" s="99">
        <f t="shared" si="41"/>
        <v>408456.80996893643</v>
      </c>
      <c r="N33" s="99">
        <f t="shared" si="41"/>
        <v>126185.9850887941</v>
      </c>
      <c r="O33" s="99">
        <f t="shared" si="41"/>
        <v>622245.88297156384</v>
      </c>
      <c r="P33" s="191">
        <f t="shared" si="40"/>
        <v>2578516.0668968125</v>
      </c>
      <c r="Q33" s="178">
        <f t="shared" ref="Q33:Q37" si="42">P33*12</f>
        <v>30942192.802761748</v>
      </c>
      <c r="R33" s="171">
        <f t="shared" si="2"/>
        <v>30919605.002015732</v>
      </c>
      <c r="S33" s="172">
        <f t="shared" si="3"/>
        <v>2261666.040547444</v>
      </c>
      <c r="T33" s="173">
        <f t="shared" si="4"/>
        <v>27139992.48656933</v>
      </c>
      <c r="U33" s="208"/>
      <c r="V33" s="240"/>
      <c r="W33" s="240"/>
      <c r="Y33" s="156"/>
    </row>
    <row r="34" spans="1:25" ht="18.75" customHeight="1">
      <c r="A34" s="311"/>
      <c r="B34" s="315"/>
      <c r="C34" s="316"/>
      <c r="D34" s="305"/>
      <c r="E34" s="309" t="s">
        <v>344</v>
      </c>
      <c r="F34" s="309"/>
      <c r="G34" s="155">
        <v>0.05</v>
      </c>
      <c r="H34" s="99">
        <f>H32*$G$34</f>
        <v>212904.75633507653</v>
      </c>
      <c r="I34" s="99">
        <f t="shared" ref="I34:O34" si="43">I32*$G$34</f>
        <v>196463.76398070008</v>
      </c>
      <c r="J34" s="99">
        <f t="shared" si="43"/>
        <v>1085197.5537872983</v>
      </c>
      <c r="K34" s="99">
        <f t="shared" si="43"/>
        <v>576563.17629044317</v>
      </c>
      <c r="L34" s="99">
        <f t="shared" si="43"/>
        <v>298249.73105234583</v>
      </c>
      <c r="M34" s="99">
        <f t="shared" si="43"/>
        <v>680761.34994822741</v>
      </c>
      <c r="N34" s="99">
        <f t="shared" si="43"/>
        <v>210309.97514799019</v>
      </c>
      <c r="O34" s="99">
        <f t="shared" si="43"/>
        <v>1037076.4716192732</v>
      </c>
      <c r="P34" s="191">
        <f t="shared" si="40"/>
        <v>4297526.7781613544</v>
      </c>
      <c r="Q34" s="178">
        <f t="shared" si="42"/>
        <v>51570321.337936252</v>
      </c>
      <c r="R34" s="171">
        <f t="shared" si="2"/>
        <v>51532675.003359556</v>
      </c>
      <c r="S34" s="172">
        <f t="shared" si="3"/>
        <v>3769443.4009124073</v>
      </c>
      <c r="T34" s="173">
        <f t="shared" si="4"/>
        <v>45233320.810948886</v>
      </c>
      <c r="U34" s="208"/>
      <c r="V34" s="240"/>
      <c r="W34" s="240"/>
      <c r="Y34" s="156"/>
    </row>
    <row r="35" spans="1:25" ht="18.75" customHeight="1">
      <c r="A35" s="311"/>
      <c r="B35" s="315"/>
      <c r="C35" s="316"/>
      <c r="D35" s="305"/>
      <c r="E35" s="309" t="s">
        <v>364</v>
      </c>
      <c r="F35" s="309"/>
      <c r="G35" s="94"/>
      <c r="H35" s="99">
        <f>H32+H33+H34</f>
        <v>4598742.7368376525</v>
      </c>
      <c r="I35" s="99">
        <f t="shared" ref="I35:O35" si="44">I32+I33+I34</f>
        <v>4243617.3019831218</v>
      </c>
      <c r="J35" s="99">
        <f t="shared" si="44"/>
        <v>23440267.161805645</v>
      </c>
      <c r="K35" s="99">
        <f t="shared" si="44"/>
        <v>12453764.607873572</v>
      </c>
      <c r="L35" s="99">
        <f t="shared" si="44"/>
        <v>6442194.1907306695</v>
      </c>
      <c r="M35" s="99">
        <f t="shared" si="44"/>
        <v>14704445.158881713</v>
      </c>
      <c r="N35" s="99">
        <f t="shared" si="44"/>
        <v>4542695.4631965887</v>
      </c>
      <c r="O35" s="99">
        <f t="shared" si="44"/>
        <v>22400851.7869763</v>
      </c>
      <c r="P35" s="191">
        <f t="shared" si="40"/>
        <v>92826578.40828526</v>
      </c>
      <c r="Q35" s="178">
        <f t="shared" si="42"/>
        <v>1113918940.8994231</v>
      </c>
      <c r="R35" s="171">
        <f t="shared" si="2"/>
        <v>1113105780.0725665</v>
      </c>
      <c r="S35" s="172">
        <f t="shared" si="3"/>
        <v>81419977.45970799</v>
      </c>
      <c r="T35" s="173">
        <f t="shared" si="4"/>
        <v>977039729.51649594</v>
      </c>
      <c r="U35" s="157"/>
      <c r="V35" s="247"/>
      <c r="W35" s="247"/>
    </row>
    <row r="36" spans="1:25" ht="18.75" customHeight="1">
      <c r="A36" s="311"/>
      <c r="B36" s="315"/>
      <c r="C36" s="316"/>
      <c r="D36" s="305"/>
      <c r="E36" s="309" t="s">
        <v>345</v>
      </c>
      <c r="F36" s="309"/>
      <c r="G36" s="155">
        <v>0.1</v>
      </c>
      <c r="H36" s="100">
        <f>H35*$G$36</f>
        <v>459874.27368376526</v>
      </c>
      <c r="I36" s="100">
        <f t="shared" ref="I36:O36" si="45">I35*$G$36</f>
        <v>424361.7301983122</v>
      </c>
      <c r="J36" s="100">
        <f t="shared" si="45"/>
        <v>2344026.7161805644</v>
      </c>
      <c r="K36" s="100">
        <f t="shared" si="45"/>
        <v>1245376.4607873573</v>
      </c>
      <c r="L36" s="100">
        <f t="shared" si="45"/>
        <v>644219.41907306702</v>
      </c>
      <c r="M36" s="100">
        <f t="shared" si="45"/>
        <v>1470444.5158881713</v>
      </c>
      <c r="N36" s="100">
        <f t="shared" si="45"/>
        <v>454269.54631965887</v>
      </c>
      <c r="O36" s="100">
        <f t="shared" si="45"/>
        <v>2240085.1786976303</v>
      </c>
      <c r="P36" s="191">
        <f t="shared" si="40"/>
        <v>9282657.8408285268</v>
      </c>
      <c r="Q36" s="178">
        <f t="shared" si="42"/>
        <v>111391894.08994232</v>
      </c>
      <c r="R36" s="171">
        <f t="shared" si="2"/>
        <v>111310578.00725666</v>
      </c>
      <c r="S36" s="172">
        <f t="shared" si="3"/>
        <v>8141997.7459708005</v>
      </c>
      <c r="T36" s="173">
        <f t="shared" si="4"/>
        <v>97703972.951649606</v>
      </c>
      <c r="U36" s="143"/>
      <c r="V36" s="235"/>
      <c r="W36" s="235"/>
    </row>
    <row r="37" spans="1:25" ht="18.75" customHeight="1" thickBot="1">
      <c r="A37" s="311"/>
      <c r="B37" s="315"/>
      <c r="C37" s="316"/>
      <c r="D37" s="317" t="s">
        <v>64</v>
      </c>
      <c r="E37" s="318"/>
      <c r="F37" s="318"/>
      <c r="G37" s="319"/>
      <c r="H37" s="98">
        <f>H35+H36</f>
        <v>5058617.0105214175</v>
      </c>
      <c r="I37" s="98">
        <f t="shared" ref="I37:O37" si="46">I35+I36</f>
        <v>4667979.0321814343</v>
      </c>
      <c r="J37" s="98">
        <f t="shared" si="46"/>
        <v>25784293.877986208</v>
      </c>
      <c r="K37" s="98">
        <f t="shared" si="46"/>
        <v>13699141.06866093</v>
      </c>
      <c r="L37" s="98">
        <f t="shared" si="46"/>
        <v>7086413.6098037362</v>
      </c>
      <c r="M37" s="98">
        <f t="shared" si="46"/>
        <v>16174889.674769884</v>
      </c>
      <c r="N37" s="98">
        <f t="shared" si="46"/>
        <v>4996965.0095162475</v>
      </c>
      <c r="O37" s="98">
        <f t="shared" si="46"/>
        <v>24640936.965673931</v>
      </c>
      <c r="P37" s="191">
        <f t="shared" si="40"/>
        <v>102109236.2491138</v>
      </c>
      <c r="Q37" s="192">
        <f t="shared" si="42"/>
        <v>1225310834.9893656</v>
      </c>
      <c r="R37" s="205">
        <f t="shared" si="2"/>
        <v>1224416358.0798233</v>
      </c>
      <c r="S37" s="206">
        <f t="shared" si="3"/>
        <v>89561975.205678806</v>
      </c>
      <c r="T37" s="207">
        <f t="shared" si="4"/>
        <v>1074743702.4681456</v>
      </c>
      <c r="U37" s="143"/>
      <c r="V37" s="235"/>
      <c r="W37" s="235"/>
    </row>
    <row r="38" spans="1:25" ht="41.25" customHeight="1" thickBot="1">
      <c r="A38" s="312"/>
      <c r="B38" s="320" t="s">
        <v>365</v>
      </c>
      <c r="C38" s="321"/>
      <c r="D38" s="322" t="s">
        <v>65</v>
      </c>
      <c r="E38" s="323"/>
      <c r="F38" s="324"/>
      <c r="G38" s="158" t="s">
        <v>346</v>
      </c>
      <c r="H38" s="101">
        <f t="shared" ref="H38:O38" si="47">H37*12</f>
        <v>60703404.12625701</v>
      </c>
      <c r="I38" s="101">
        <f t="shared" si="47"/>
        <v>56015748.386177212</v>
      </c>
      <c r="J38" s="101">
        <f t="shared" si="47"/>
        <v>309411526.53583449</v>
      </c>
      <c r="K38" s="101">
        <f t="shared" si="47"/>
        <v>164389692.82393116</v>
      </c>
      <c r="L38" s="101">
        <f t="shared" si="47"/>
        <v>85036963.317644835</v>
      </c>
      <c r="M38" s="101">
        <f t="shared" si="47"/>
        <v>194098676.0972386</v>
      </c>
      <c r="N38" s="101">
        <f t="shared" si="47"/>
        <v>59963580.114194974</v>
      </c>
      <c r="O38" s="101">
        <f t="shared" si="47"/>
        <v>295691243.5880872</v>
      </c>
      <c r="P38" s="101">
        <f>TRUNC(P37*12,-3)</f>
        <v>1225310000</v>
      </c>
      <c r="Q38" s="159"/>
      <c r="R38" s="160"/>
      <c r="S38" s="161"/>
      <c r="T38" s="162"/>
      <c r="U38" s="163"/>
      <c r="V38" s="248"/>
      <c r="W38" s="248"/>
      <c r="X38" s="121" t="s">
        <v>251</v>
      </c>
    </row>
    <row r="39" spans="1:25" ht="18.75" customHeight="1">
      <c r="A39" s="164"/>
      <c r="B39" s="164"/>
      <c r="C39" s="164"/>
      <c r="D39" s="164"/>
      <c r="E39" s="164"/>
      <c r="F39" s="164"/>
    </row>
    <row r="40" spans="1:25" ht="18.75" customHeight="1">
      <c r="A40" s="301"/>
      <c r="B40" s="166"/>
      <c r="C40" s="166"/>
      <c r="D40" s="166"/>
      <c r="E40" s="166"/>
      <c r="F40" s="166"/>
      <c r="H40" s="144"/>
      <c r="I40" s="144"/>
      <c r="J40" s="144"/>
      <c r="K40" s="144"/>
      <c r="L40" s="144"/>
      <c r="M40" s="144"/>
      <c r="N40" s="144"/>
      <c r="O40" s="144"/>
    </row>
    <row r="41" spans="1:25" ht="18.75" customHeight="1">
      <c r="A41" s="301"/>
      <c r="B41" s="166"/>
      <c r="C41" s="166"/>
      <c r="D41" s="166"/>
      <c r="E41" s="166"/>
      <c r="F41" s="166"/>
      <c r="G41" s="123" t="s">
        <v>253</v>
      </c>
      <c r="H41" s="144">
        <f>H15-H14+H26+H27</f>
        <v>3611723.4832535884</v>
      </c>
      <c r="I41" s="144">
        <f t="shared" ref="I41:M41" si="48">I15-I14+I26+I27</f>
        <v>3334632.3157894737</v>
      </c>
      <c r="J41" s="144">
        <f t="shared" si="48"/>
        <v>3670620.2392344498</v>
      </c>
      <c r="K41" s="144">
        <f t="shared" si="48"/>
        <v>2452797.9043062199</v>
      </c>
      <c r="L41" s="144">
        <f t="shared" si="48"/>
        <v>2536797.8325358853</v>
      </c>
      <c r="M41" s="144">
        <f t="shared" si="48"/>
        <v>2881039.4258373207</v>
      </c>
      <c r="N41" s="144"/>
      <c r="O41" s="144"/>
      <c r="U41" s="139">
        <f>P38*87.745%</f>
        <v>1075148259.5</v>
      </c>
      <c r="V41" s="139"/>
      <c r="W41" s="139"/>
      <c r="X41" s="167">
        <v>0.87744999999999995</v>
      </c>
    </row>
    <row r="42" spans="1:25" ht="18.75" customHeight="1">
      <c r="A42" s="301"/>
      <c r="B42" s="166"/>
      <c r="C42" s="166"/>
      <c r="D42" s="166"/>
      <c r="E42" s="166"/>
      <c r="F42" s="166"/>
      <c r="R42" s="121" t="s">
        <v>243</v>
      </c>
      <c r="S42" s="139" t="s">
        <v>245</v>
      </c>
      <c r="T42" s="144">
        <f>T37</f>
        <v>1074743702.4681456</v>
      </c>
      <c r="U42" s="168">
        <f>P38*99%</f>
        <v>1213056900</v>
      </c>
      <c r="V42" s="168"/>
      <c r="W42" s="168"/>
      <c r="X42" s="169">
        <v>0.99</v>
      </c>
    </row>
    <row r="43" spans="1:25" ht="18.75" customHeight="1">
      <c r="A43" s="125"/>
      <c r="B43" s="125"/>
      <c r="C43" s="125"/>
      <c r="D43" s="125"/>
      <c r="E43" s="125"/>
      <c r="F43" s="125"/>
      <c r="G43" s="166">
        <v>2018</v>
      </c>
      <c r="H43" s="170">
        <f>2852739-219441</f>
        <v>2633298</v>
      </c>
      <c r="I43" s="170">
        <f>2375787-182753</f>
        <v>2193034</v>
      </c>
      <c r="J43" s="170">
        <f>2901161-223166</f>
        <v>2677995</v>
      </c>
      <c r="K43" s="144">
        <f>2033509-156424</f>
        <v>1877085</v>
      </c>
      <c r="L43" s="144">
        <f>2033509-156424</f>
        <v>1877085</v>
      </c>
      <c r="M43" s="144">
        <f>2530280-194637</f>
        <v>2335643</v>
      </c>
      <c r="N43" s="144"/>
      <c r="O43" s="144"/>
      <c r="P43" s="184"/>
      <c r="R43" s="121" t="s">
        <v>244</v>
      </c>
      <c r="S43" s="121" t="s">
        <v>246</v>
      </c>
      <c r="T43" s="144">
        <f>R37</f>
        <v>1224416358.0798233</v>
      </c>
    </row>
    <row r="44" spans="1:25" ht="18.75" customHeight="1">
      <c r="H44" s="121">
        <f>H41/H43</f>
        <v>1.3715589664571151</v>
      </c>
      <c r="I44" s="121">
        <f t="shared" ref="I44:M44" si="49">I41/I43</f>
        <v>1.5205565968377479</v>
      </c>
      <c r="J44" s="121">
        <f t="shared" si="49"/>
        <v>1.3706598553150584</v>
      </c>
      <c r="K44" s="121">
        <f t="shared" si="49"/>
        <v>1.3067058254187849</v>
      </c>
      <c r="L44" s="121">
        <f t="shared" si="49"/>
        <v>1.3514560249194285</v>
      </c>
      <c r="M44" s="121">
        <f t="shared" si="49"/>
        <v>1.2335101836356501</v>
      </c>
      <c r="R44" s="121">
        <f>T42/T43</f>
        <v>0.87775999999999998</v>
      </c>
    </row>
    <row r="45" spans="1:25" ht="18.75" customHeight="1"/>
    <row r="46" spans="1:25" ht="18.75" customHeight="1"/>
  </sheetData>
  <mergeCells count="46">
    <mergeCell ref="B1:U1"/>
    <mergeCell ref="A3:A5"/>
    <mergeCell ref="B3:C5"/>
    <mergeCell ref="D3:P3"/>
    <mergeCell ref="U3:U5"/>
    <mergeCell ref="D4:G5"/>
    <mergeCell ref="P4:P5"/>
    <mergeCell ref="Q4:Q5"/>
    <mergeCell ref="R4:R5"/>
    <mergeCell ref="S4:T4"/>
    <mergeCell ref="H4:O4"/>
    <mergeCell ref="H5:O5"/>
    <mergeCell ref="E13:F13"/>
    <mergeCell ref="E14:F14"/>
    <mergeCell ref="D15:G15"/>
    <mergeCell ref="E17:E23"/>
    <mergeCell ref="D6:D14"/>
    <mergeCell ref="E6:F7"/>
    <mergeCell ref="G6:G7"/>
    <mergeCell ref="D16:G16"/>
    <mergeCell ref="R6:R7"/>
    <mergeCell ref="S6:S7"/>
    <mergeCell ref="T6:T7"/>
    <mergeCell ref="E8:G8"/>
    <mergeCell ref="E9:E12"/>
    <mergeCell ref="U18:U19"/>
    <mergeCell ref="X22:Y22"/>
    <mergeCell ref="X23:Y23"/>
    <mergeCell ref="D28:G28"/>
    <mergeCell ref="D29:G29"/>
    <mergeCell ref="A40:A42"/>
    <mergeCell ref="D31:G31"/>
    <mergeCell ref="D32:D36"/>
    <mergeCell ref="E32:G32"/>
    <mergeCell ref="E33:F33"/>
    <mergeCell ref="E34:F34"/>
    <mergeCell ref="E35:F35"/>
    <mergeCell ref="E36:F36"/>
    <mergeCell ref="A6:A38"/>
    <mergeCell ref="B6:C37"/>
    <mergeCell ref="D37:G37"/>
    <mergeCell ref="B38:C38"/>
    <mergeCell ref="D38:F38"/>
    <mergeCell ref="D17:D27"/>
    <mergeCell ref="E24:E27"/>
    <mergeCell ref="D30:G30"/>
  </mergeCells>
  <phoneticPr fontId="18" type="noConversion"/>
  <printOptions horizontalCentered="1"/>
  <pageMargins left="0.19685039370078741" right="0.19685039370078741" top="0.35433070866141736" bottom="0.23622047244094491" header="0.31496062992125984" footer="0.19685039370078741"/>
  <pageSetup paperSize="8" scale="84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A1:AD46"/>
  <sheetViews>
    <sheetView view="pageBreakPreview" topLeftCell="B1" zoomScaleNormal="85" zoomScaleSheetLayoutView="100" workbookViewId="0">
      <selection activeCell="J9" sqref="J9"/>
    </sheetView>
  </sheetViews>
  <sheetFormatPr defaultColWidth="9" defaultRowHeight="16.5"/>
  <cols>
    <col min="1" max="1" width="4.5" style="121" hidden="1" customWidth="1"/>
    <col min="2" max="2" width="3" style="121" bestFit="1" customWidth="1"/>
    <col min="3" max="3" width="5.125" style="121" customWidth="1"/>
    <col min="4" max="4" width="3.75" style="121" bestFit="1" customWidth="1"/>
    <col min="5" max="5" width="6" style="121" bestFit="1" customWidth="1"/>
    <col min="6" max="6" width="13.875" style="121" bestFit="1" customWidth="1"/>
    <col min="7" max="7" width="31.5" style="258" customWidth="1"/>
    <col min="8" max="8" width="13.75" style="121" customWidth="1"/>
    <col min="9" max="11" width="13.75" style="165" customWidth="1"/>
    <col min="12" max="15" width="13.75" style="121" customWidth="1"/>
    <col min="16" max="16" width="13.75" style="193" customWidth="1"/>
    <col min="17" max="17" width="13.75" style="193" hidden="1" customWidth="1"/>
    <col min="18" max="20" width="13.75" style="121" hidden="1" customWidth="1"/>
    <col min="21" max="21" width="37.75" style="121" bestFit="1" customWidth="1"/>
    <col min="22" max="22" width="25" style="121" customWidth="1"/>
    <col min="23" max="23" width="21.625" style="121" customWidth="1"/>
    <col min="24" max="25" width="22.25" style="121" bestFit="1" customWidth="1"/>
    <col min="26" max="26" width="34.125" style="121" bestFit="1" customWidth="1"/>
    <col min="27" max="27" width="15.625" style="121" bestFit="1" customWidth="1"/>
    <col min="28" max="28" width="13.5" style="121" bestFit="1" customWidth="1"/>
    <col min="29" max="30" width="11.75" style="121" bestFit="1" customWidth="1"/>
    <col min="31" max="16384" width="9" style="121"/>
  </cols>
  <sheetData>
    <row r="1" spans="1:30" ht="43.15" customHeight="1">
      <c r="B1" s="349" t="s">
        <v>407</v>
      </c>
      <c r="C1" s="349"/>
      <c r="D1" s="349"/>
      <c r="E1" s="349"/>
      <c r="F1" s="349"/>
      <c r="G1" s="349"/>
      <c r="H1" s="349"/>
      <c r="I1" s="349"/>
      <c r="J1" s="349"/>
      <c r="K1" s="349"/>
      <c r="L1" s="349"/>
      <c r="M1" s="349"/>
      <c r="N1" s="349"/>
      <c r="O1" s="349"/>
      <c r="P1" s="349"/>
      <c r="Q1" s="349"/>
      <c r="R1" s="349"/>
      <c r="S1" s="349"/>
      <c r="T1" s="349"/>
      <c r="U1" s="349"/>
      <c r="V1" s="259"/>
      <c r="W1" s="259"/>
    </row>
    <row r="2" spans="1:30" ht="43.15" customHeight="1" thickBot="1">
      <c r="A2" s="122"/>
      <c r="B2" s="16"/>
      <c r="C2" s="16"/>
      <c r="D2" s="16"/>
      <c r="E2" s="16"/>
      <c r="F2" s="16"/>
      <c r="H2" s="124"/>
      <c r="I2" s="124"/>
      <c r="J2" s="124"/>
      <c r="K2" s="124"/>
      <c r="L2" s="124"/>
      <c r="M2" s="124"/>
      <c r="N2" s="124"/>
      <c r="O2" s="124"/>
      <c r="P2" s="184"/>
      <c r="Q2" s="184"/>
      <c r="R2" s="125"/>
      <c r="S2" s="125"/>
      <c r="T2" s="125"/>
      <c r="U2" s="221" t="s">
        <v>373</v>
      </c>
      <c r="V2" s="221"/>
      <c r="W2" s="221"/>
    </row>
    <row r="3" spans="1:30" ht="18.75" customHeight="1" thickBot="1">
      <c r="A3" s="350" t="s">
        <v>307</v>
      </c>
      <c r="B3" s="353" t="s">
        <v>94</v>
      </c>
      <c r="C3" s="354"/>
      <c r="D3" s="359" t="s">
        <v>160</v>
      </c>
      <c r="E3" s="360"/>
      <c r="F3" s="360"/>
      <c r="G3" s="360"/>
      <c r="H3" s="360"/>
      <c r="I3" s="360"/>
      <c r="J3" s="360"/>
      <c r="K3" s="360"/>
      <c r="L3" s="360"/>
      <c r="M3" s="360"/>
      <c r="N3" s="360"/>
      <c r="O3" s="360"/>
      <c r="P3" s="361"/>
      <c r="Q3" s="185"/>
      <c r="R3" s="127"/>
      <c r="S3" s="127"/>
      <c r="T3" s="127"/>
      <c r="U3" s="362" t="s">
        <v>0</v>
      </c>
      <c r="V3" s="234"/>
      <c r="W3" s="234"/>
      <c r="X3" s="121" t="s">
        <v>280</v>
      </c>
      <c r="Y3" s="121" t="s">
        <v>283</v>
      </c>
      <c r="Z3" s="121" t="s">
        <v>304</v>
      </c>
    </row>
    <row r="4" spans="1:30" ht="18.75" customHeight="1">
      <c r="A4" s="351"/>
      <c r="B4" s="355"/>
      <c r="C4" s="356"/>
      <c r="D4" s="356" t="s">
        <v>2</v>
      </c>
      <c r="E4" s="356"/>
      <c r="F4" s="356"/>
      <c r="G4" s="356"/>
      <c r="H4" s="372" t="s">
        <v>42</v>
      </c>
      <c r="I4" s="373"/>
      <c r="J4" s="373"/>
      <c r="K4" s="373"/>
      <c r="L4" s="373"/>
      <c r="M4" s="373"/>
      <c r="N4" s="373"/>
      <c r="O4" s="374"/>
      <c r="P4" s="365" t="s">
        <v>369</v>
      </c>
      <c r="Q4" s="367" t="s">
        <v>362</v>
      </c>
      <c r="R4" s="368" t="s">
        <v>241</v>
      </c>
      <c r="S4" s="370" t="s">
        <v>242</v>
      </c>
      <c r="T4" s="371"/>
      <c r="U4" s="363"/>
      <c r="V4" s="234"/>
      <c r="W4" s="234"/>
      <c r="X4" s="121">
        <v>7000</v>
      </c>
      <c r="Y4" s="121">
        <v>2600</v>
      </c>
    </row>
    <row r="5" spans="1:30" ht="18.75" customHeight="1" thickBot="1">
      <c r="A5" s="352"/>
      <c r="B5" s="357"/>
      <c r="C5" s="358"/>
      <c r="D5" s="358"/>
      <c r="E5" s="358"/>
      <c r="F5" s="358"/>
      <c r="G5" s="358"/>
      <c r="H5" s="375" t="s">
        <v>62</v>
      </c>
      <c r="I5" s="376"/>
      <c r="J5" s="376"/>
      <c r="K5" s="376"/>
      <c r="L5" s="376"/>
      <c r="M5" s="376"/>
      <c r="N5" s="376"/>
      <c r="O5" s="377"/>
      <c r="P5" s="366"/>
      <c r="Q5" s="366"/>
      <c r="R5" s="369"/>
      <c r="S5" s="128" t="s">
        <v>312</v>
      </c>
      <c r="T5" s="129" t="s">
        <v>313</v>
      </c>
      <c r="U5" s="364"/>
      <c r="V5" s="234"/>
      <c r="W5" s="234"/>
      <c r="X5" s="121">
        <v>26</v>
      </c>
      <c r="Y5" s="121">
        <v>26</v>
      </c>
    </row>
    <row r="6" spans="1:30" ht="18.75" customHeight="1">
      <c r="A6" s="310" t="s">
        <v>96</v>
      </c>
      <c r="B6" s="313" t="s">
        <v>95</v>
      </c>
      <c r="C6" s="314"/>
      <c r="D6" s="342" t="s">
        <v>4</v>
      </c>
      <c r="E6" s="343" t="s">
        <v>43</v>
      </c>
      <c r="F6" s="344"/>
      <c r="G6" s="347" t="s">
        <v>318</v>
      </c>
      <c r="H6" s="130" t="s">
        <v>48</v>
      </c>
      <c r="I6" s="131" t="s">
        <v>292</v>
      </c>
      <c r="J6" s="131" t="s">
        <v>209</v>
      </c>
      <c r="K6" s="132" t="s">
        <v>196</v>
      </c>
      <c r="L6" s="133" t="s">
        <v>320</v>
      </c>
      <c r="M6" s="133" t="s">
        <v>208</v>
      </c>
      <c r="N6" s="133" t="s">
        <v>427</v>
      </c>
      <c r="O6" s="133" t="s">
        <v>370</v>
      </c>
      <c r="P6" s="186" t="s">
        <v>3</v>
      </c>
      <c r="Q6" s="187" t="s">
        <v>28</v>
      </c>
      <c r="R6" s="336" t="s">
        <v>321</v>
      </c>
      <c r="S6" s="338"/>
      <c r="T6" s="340" t="s">
        <v>247</v>
      </c>
      <c r="U6" s="134"/>
      <c r="V6" s="235"/>
      <c r="W6" s="235"/>
      <c r="X6" s="121">
        <f>X4*X5</f>
        <v>182000</v>
      </c>
      <c r="Y6" s="121">
        <f>Y4*Y5</f>
        <v>67600</v>
      </c>
    </row>
    <row r="7" spans="1:30" ht="18.75" customHeight="1">
      <c r="A7" s="311"/>
      <c r="B7" s="315"/>
      <c r="C7" s="316"/>
      <c r="D7" s="325"/>
      <c r="E7" s="345"/>
      <c r="F7" s="346"/>
      <c r="G7" s="348"/>
      <c r="H7" s="120">
        <v>119345</v>
      </c>
      <c r="I7" s="120">
        <v>113564</v>
      </c>
      <c r="J7" s="120">
        <v>105147</v>
      </c>
      <c r="K7" s="120">
        <v>81196</v>
      </c>
      <c r="L7" s="120">
        <v>81196</v>
      </c>
      <c r="M7" s="120">
        <v>81196</v>
      </c>
      <c r="N7" s="120">
        <v>104306</v>
      </c>
      <c r="O7" s="120">
        <v>102759</v>
      </c>
      <c r="P7" s="188"/>
      <c r="Q7" s="177"/>
      <c r="R7" s="337"/>
      <c r="S7" s="339"/>
      <c r="T7" s="341"/>
      <c r="U7" s="135" t="s">
        <v>411</v>
      </c>
      <c r="V7" s="236"/>
      <c r="W7" s="236"/>
      <c r="Z7" s="121" t="s">
        <v>198</v>
      </c>
      <c r="AA7" s="126" t="s">
        <v>257</v>
      </c>
      <c r="AB7" s="136" t="s">
        <v>281</v>
      </c>
      <c r="AC7" s="136" t="s">
        <v>282</v>
      </c>
      <c r="AD7" s="136" t="s">
        <v>283</v>
      </c>
    </row>
    <row r="8" spans="1:30" ht="18.75" customHeight="1">
      <c r="A8" s="311"/>
      <c r="B8" s="315"/>
      <c r="C8" s="316"/>
      <c r="D8" s="325"/>
      <c r="E8" s="306" t="s">
        <v>45</v>
      </c>
      <c r="F8" s="307"/>
      <c r="G8" s="308"/>
      <c r="H8" s="93">
        <v>3102970</v>
      </c>
      <c r="I8" s="93">
        <v>2952664</v>
      </c>
      <c r="J8" s="93">
        <v>2733822</v>
      </c>
      <c r="K8" s="93">
        <v>2111096</v>
      </c>
      <c r="L8" s="93">
        <v>2111096</v>
      </c>
      <c r="M8" s="93">
        <v>2111096</v>
      </c>
      <c r="N8" s="93">
        <v>2711956</v>
      </c>
      <c r="O8" s="93">
        <v>2671734</v>
      </c>
      <c r="P8" s="178">
        <v>56906330</v>
      </c>
      <c r="Q8" s="178">
        <v>682875960</v>
      </c>
      <c r="R8" s="171">
        <v>682377460.54919994</v>
      </c>
      <c r="S8" s="172">
        <v>49913636.647638805</v>
      </c>
      <c r="T8" s="173">
        <v>598963639.77166569</v>
      </c>
      <c r="U8" s="137" t="s">
        <v>217</v>
      </c>
      <c r="V8" s="237"/>
      <c r="W8" s="237"/>
      <c r="X8" s="121" t="s">
        <v>213</v>
      </c>
      <c r="Y8" s="121" t="s">
        <v>213</v>
      </c>
      <c r="Z8" s="138" t="s">
        <v>271</v>
      </c>
      <c r="AA8" s="16">
        <v>107247</v>
      </c>
      <c r="AB8" s="139">
        <v>5</v>
      </c>
      <c r="AC8" s="121">
        <v>8000</v>
      </c>
      <c r="AD8" s="121">
        <v>2600</v>
      </c>
    </row>
    <row r="9" spans="1:30" ht="18.75" customHeight="1">
      <c r="A9" s="311"/>
      <c r="B9" s="315"/>
      <c r="C9" s="316"/>
      <c r="D9" s="325"/>
      <c r="E9" s="305" t="s">
        <v>5</v>
      </c>
      <c r="F9" s="249" t="s">
        <v>356</v>
      </c>
      <c r="G9" s="249" t="s">
        <v>357</v>
      </c>
      <c r="H9" s="250">
        <v>119593.49282296651</v>
      </c>
      <c r="I9" s="250">
        <v>0</v>
      </c>
      <c r="J9" s="250">
        <v>477873.20095693786</v>
      </c>
      <c r="K9" s="250">
        <v>0</v>
      </c>
      <c r="L9" s="250">
        <v>83999.928229665064</v>
      </c>
      <c r="M9" s="250">
        <v>375078.71770334931</v>
      </c>
      <c r="N9" s="250">
        <v>485584.69377990428</v>
      </c>
      <c r="O9" s="250">
        <v>478945.17703349283</v>
      </c>
      <c r="P9" s="251">
        <v>7057584.8038277514</v>
      </c>
      <c r="Q9" s="178">
        <v>84691017.645933017</v>
      </c>
      <c r="R9" s="171">
        <v>84629193.203051493</v>
      </c>
      <c r="S9" s="172">
        <v>6190343.38549254</v>
      </c>
      <c r="T9" s="173">
        <v>74284120.625910476</v>
      </c>
      <c r="U9" s="140" t="s">
        <v>306</v>
      </c>
      <c r="V9" s="238"/>
      <c r="W9" s="238"/>
      <c r="X9" s="121">
        <v>23</v>
      </c>
      <c r="Y9" s="121">
        <v>23</v>
      </c>
      <c r="Z9" s="121" t="s">
        <v>201</v>
      </c>
      <c r="AA9" s="16">
        <v>96154</v>
      </c>
      <c r="AB9" s="139">
        <v>5</v>
      </c>
      <c r="AC9" s="139">
        <v>26</v>
      </c>
      <c r="AD9" s="121">
        <v>26</v>
      </c>
    </row>
    <row r="10" spans="1:30" ht="18.75" customHeight="1">
      <c r="A10" s="311"/>
      <c r="B10" s="315"/>
      <c r="C10" s="316"/>
      <c r="D10" s="325"/>
      <c r="E10" s="305"/>
      <c r="F10" s="249" t="s">
        <v>358</v>
      </c>
      <c r="G10" s="249" t="s">
        <v>359</v>
      </c>
      <c r="H10" s="250">
        <v>0</v>
      </c>
      <c r="I10" s="250">
        <v>0</v>
      </c>
      <c r="J10" s="250">
        <v>159291.06698564594</v>
      </c>
      <c r="K10" s="250">
        <v>0</v>
      </c>
      <c r="L10" s="250">
        <v>0</v>
      </c>
      <c r="M10" s="250">
        <v>125026.23923444978</v>
      </c>
      <c r="N10" s="250"/>
      <c r="O10" s="250"/>
      <c r="P10" s="251">
        <v>1296560.2918660287</v>
      </c>
      <c r="Q10" s="178">
        <v>15558723.502392344</v>
      </c>
      <c r="R10" s="171">
        <v>15547365.634235598</v>
      </c>
      <c r="S10" s="172">
        <v>1137237.9715922198</v>
      </c>
      <c r="T10" s="173">
        <v>13646855.659106638</v>
      </c>
      <c r="U10" s="140" t="s">
        <v>305</v>
      </c>
      <c r="V10" s="238"/>
      <c r="W10" s="238"/>
      <c r="X10" s="121">
        <v>23</v>
      </c>
      <c r="Y10" s="121">
        <v>23</v>
      </c>
      <c r="Z10" s="141" t="s">
        <v>322</v>
      </c>
      <c r="AA10" s="16">
        <v>76130</v>
      </c>
      <c r="AB10" s="139"/>
      <c r="AC10" s="139">
        <f>AC8*AC9</f>
        <v>208000</v>
      </c>
      <c r="AD10" s="121">
        <f>AD8*AD9</f>
        <v>67600</v>
      </c>
    </row>
    <row r="11" spans="1:30" ht="18.75" customHeight="1">
      <c r="A11" s="311"/>
      <c r="B11" s="315"/>
      <c r="C11" s="316"/>
      <c r="D11" s="325"/>
      <c r="E11" s="305"/>
      <c r="F11" s="249" t="s">
        <v>8</v>
      </c>
      <c r="G11" s="252" t="s">
        <v>361</v>
      </c>
      <c r="H11" s="253">
        <v>159457.99043062201</v>
      </c>
      <c r="I11" s="253">
        <v>152266.31578947368</v>
      </c>
      <c r="J11" s="253">
        <v>138513.97129186604</v>
      </c>
      <c r="K11" s="253">
        <v>111999.90430622008</v>
      </c>
      <c r="L11" s="253">
        <v>111999.90430622008</v>
      </c>
      <c r="M11" s="253">
        <v>108718.46889952155</v>
      </c>
      <c r="N11" s="253">
        <v>140749.18660287082</v>
      </c>
      <c r="O11" s="253">
        <v>138824.68899521531</v>
      </c>
      <c r="P11" s="251">
        <v>2946040.0956937801</v>
      </c>
      <c r="Q11" s="178">
        <v>35352481.148325361</v>
      </c>
      <c r="R11" s="171">
        <v>35326673.83708708</v>
      </c>
      <c r="S11" s="172">
        <v>2584028.4356034626</v>
      </c>
      <c r="T11" s="173">
        <v>31008341.227241553</v>
      </c>
      <c r="U11" s="143"/>
      <c r="V11" s="235"/>
      <c r="W11" s="235"/>
      <c r="Z11" s="121" t="s">
        <v>232</v>
      </c>
      <c r="AA11" s="16">
        <v>88351</v>
      </c>
      <c r="AD11" s="144">
        <f>AC10+AD10</f>
        <v>275600</v>
      </c>
    </row>
    <row r="12" spans="1:30" ht="18.75" customHeight="1">
      <c r="A12" s="311"/>
      <c r="B12" s="315"/>
      <c r="C12" s="316"/>
      <c r="D12" s="325"/>
      <c r="E12" s="305"/>
      <c r="F12" s="249" t="s">
        <v>347</v>
      </c>
      <c r="G12" s="249"/>
      <c r="H12" s="250">
        <v>279051.48325358855</v>
      </c>
      <c r="I12" s="250">
        <v>152266.31578947368</v>
      </c>
      <c r="J12" s="250">
        <v>775678.23923444981</v>
      </c>
      <c r="K12" s="250">
        <v>111999.90430622008</v>
      </c>
      <c r="L12" s="250">
        <v>195999.83253588516</v>
      </c>
      <c r="M12" s="250">
        <v>608823.42583732062</v>
      </c>
      <c r="N12" s="250">
        <v>626333.8803827751</v>
      </c>
      <c r="O12" s="250">
        <v>617769.86602870817</v>
      </c>
      <c r="P12" s="251">
        <v>11300185.19138756</v>
      </c>
      <c r="Q12" s="178">
        <v>135602222.29665071</v>
      </c>
      <c r="R12" s="171">
        <v>135503232.67437416</v>
      </c>
      <c r="S12" s="172">
        <v>9911609.7926882226</v>
      </c>
      <c r="T12" s="173">
        <v>118939317.51225866</v>
      </c>
      <c r="U12" s="143"/>
      <c r="V12" s="235"/>
      <c r="W12" s="235"/>
      <c r="AA12" s="182"/>
    </row>
    <row r="13" spans="1:30" ht="18.75" customHeight="1">
      <c r="A13" s="311"/>
      <c r="B13" s="315"/>
      <c r="C13" s="316"/>
      <c r="D13" s="325"/>
      <c r="E13" s="309" t="s">
        <v>215</v>
      </c>
      <c r="F13" s="309"/>
      <c r="G13" s="145" t="s">
        <v>350</v>
      </c>
      <c r="H13" s="198">
        <v>0</v>
      </c>
      <c r="I13" s="198">
        <v>0</v>
      </c>
      <c r="J13" s="198">
        <v>0</v>
      </c>
      <c r="K13" s="198">
        <v>0</v>
      </c>
      <c r="L13" s="198">
        <v>0</v>
      </c>
      <c r="M13" s="198">
        <v>0</v>
      </c>
      <c r="N13" s="198">
        <v>0</v>
      </c>
      <c r="O13" s="198">
        <v>0</v>
      </c>
      <c r="P13" s="194">
        <v>0</v>
      </c>
      <c r="Q13" s="178">
        <v>0</v>
      </c>
      <c r="R13" s="171">
        <v>0</v>
      </c>
      <c r="S13" s="172">
        <v>0</v>
      </c>
      <c r="T13" s="173">
        <v>0</v>
      </c>
      <c r="U13" s="146" t="s">
        <v>323</v>
      </c>
      <c r="V13" s="239"/>
      <c r="W13" s="239"/>
      <c r="X13" s="121" t="s">
        <v>252</v>
      </c>
    </row>
    <row r="14" spans="1:30" ht="18.75" customHeight="1">
      <c r="A14" s="311"/>
      <c r="B14" s="315"/>
      <c r="C14" s="316"/>
      <c r="D14" s="325"/>
      <c r="E14" s="309" t="s">
        <v>351</v>
      </c>
      <c r="F14" s="309"/>
      <c r="G14" s="142" t="s">
        <v>352</v>
      </c>
      <c r="H14" s="93">
        <v>281835.12360446568</v>
      </c>
      <c r="I14" s="93">
        <v>258744.19298245615</v>
      </c>
      <c r="J14" s="93">
        <v>292458.3532695375</v>
      </c>
      <c r="K14" s="93">
        <v>185257.99202551832</v>
      </c>
      <c r="L14" s="93">
        <v>192257.9860446571</v>
      </c>
      <c r="M14" s="93">
        <v>226659.95215311006</v>
      </c>
      <c r="N14" s="93">
        <v>278190.82336523128</v>
      </c>
      <c r="O14" s="93">
        <v>274125.32216905901</v>
      </c>
      <c r="P14" s="178">
        <v>5683876.2659489634</v>
      </c>
      <c r="Q14" s="178">
        <v>68206515.191387564</v>
      </c>
      <c r="R14" s="171">
        <v>68156724.435297847</v>
      </c>
      <c r="S14" s="172">
        <v>4985437.2033605864</v>
      </c>
      <c r="T14" s="173">
        <v>59825246.440327033</v>
      </c>
      <c r="U14" s="147"/>
      <c r="V14" s="240"/>
      <c r="W14" s="240"/>
      <c r="X14" s="121" t="s">
        <v>234</v>
      </c>
    </row>
    <row r="15" spans="1:30" ht="18.75" customHeight="1">
      <c r="A15" s="311"/>
      <c r="B15" s="315"/>
      <c r="C15" s="316"/>
      <c r="D15" s="333" t="s">
        <v>353</v>
      </c>
      <c r="E15" s="334"/>
      <c r="F15" s="334"/>
      <c r="G15" s="335"/>
      <c r="H15" s="183">
        <v>3663856.6068580542</v>
      </c>
      <c r="I15" s="183">
        <v>3363674.5087719299</v>
      </c>
      <c r="J15" s="183">
        <v>3801958.5925039873</v>
      </c>
      <c r="K15" s="183">
        <v>2408353.8963317382</v>
      </c>
      <c r="L15" s="183">
        <v>2499353.8185805422</v>
      </c>
      <c r="M15" s="183">
        <v>2946579.3779904307</v>
      </c>
      <c r="N15" s="183">
        <v>3616480.7037480064</v>
      </c>
      <c r="O15" s="183">
        <v>3563629.1881977674</v>
      </c>
      <c r="P15" s="183"/>
      <c r="Q15" s="183">
        <v>0</v>
      </c>
      <c r="R15" s="179">
        <v>0</v>
      </c>
      <c r="S15" s="180">
        <v>0</v>
      </c>
      <c r="T15" s="181">
        <v>0</v>
      </c>
      <c r="U15" s="148"/>
      <c r="V15" s="241"/>
      <c r="W15" s="241"/>
    </row>
    <row r="16" spans="1:30" ht="18.75" customHeight="1">
      <c r="A16" s="311"/>
      <c r="B16" s="315"/>
      <c r="C16" s="316"/>
      <c r="D16" s="333" t="s">
        <v>354</v>
      </c>
      <c r="E16" s="334"/>
      <c r="F16" s="334"/>
      <c r="G16" s="335"/>
      <c r="H16" s="183">
        <v>3663856.6068580542</v>
      </c>
      <c r="I16" s="183">
        <v>3363674.5087719299</v>
      </c>
      <c r="J16" s="183">
        <v>19009792.962519936</v>
      </c>
      <c r="K16" s="183">
        <v>9633415.5853269529</v>
      </c>
      <c r="L16" s="183">
        <v>4998707.6371610845</v>
      </c>
      <c r="M16" s="183">
        <v>11786317.511961723</v>
      </c>
      <c r="N16" s="183">
        <v>3616480.7037480064</v>
      </c>
      <c r="O16" s="183">
        <v>17818145.940988839</v>
      </c>
      <c r="P16" s="183">
        <v>73890391.45733653</v>
      </c>
      <c r="Q16" s="183">
        <v>886684697.4880383</v>
      </c>
      <c r="R16" s="179">
        <v>886037417.65887201</v>
      </c>
      <c r="S16" s="180">
        <v>64810683.643687628</v>
      </c>
      <c r="T16" s="181">
        <v>777728203.72425151</v>
      </c>
      <c r="U16" s="148"/>
      <c r="V16" s="241"/>
      <c r="W16" s="241"/>
    </row>
    <row r="17" spans="1:28" ht="18.75" customHeight="1">
      <c r="A17" s="311"/>
      <c r="B17" s="315"/>
      <c r="C17" s="316"/>
      <c r="D17" s="325" t="s">
        <v>325</v>
      </c>
      <c r="E17" s="326" t="s">
        <v>13</v>
      </c>
      <c r="F17" s="231" t="s">
        <v>327</v>
      </c>
      <c r="G17" s="225" t="s">
        <v>430</v>
      </c>
      <c r="H17" s="226">
        <v>30438.193349282301</v>
      </c>
      <c r="I17" s="226">
        <v>27944.372842105266</v>
      </c>
      <c r="J17" s="226">
        <v>31585.502153110054</v>
      </c>
      <c r="K17" s="226">
        <v>20007.86313875598</v>
      </c>
      <c r="L17" s="226">
        <v>20763.862492822969</v>
      </c>
      <c r="M17" s="226">
        <v>24479.274832535888</v>
      </c>
      <c r="N17" s="226">
        <v>30044.608923444983</v>
      </c>
      <c r="O17" s="226">
        <v>29605.534794258379</v>
      </c>
      <c r="P17" s="227">
        <v>518369.5154545455</v>
      </c>
      <c r="Q17" s="227">
        <v>6220434.1854545455</v>
      </c>
      <c r="R17" s="228">
        <v>6215893.2684991639</v>
      </c>
      <c r="S17" s="229">
        <v>454671.87294648547</v>
      </c>
      <c r="T17" s="230">
        <v>5456062.4753578259</v>
      </c>
      <c r="U17" s="254" t="s">
        <v>413</v>
      </c>
      <c r="V17" s="242"/>
      <c r="W17" s="242"/>
      <c r="X17" s="121" t="s">
        <v>248</v>
      </c>
      <c r="AA17" s="139"/>
    </row>
    <row r="18" spans="1:28" ht="18.75" customHeight="1">
      <c r="A18" s="311"/>
      <c r="B18" s="315"/>
      <c r="C18" s="316"/>
      <c r="D18" s="325"/>
      <c r="E18" s="326"/>
      <c r="F18" s="149" t="s">
        <v>328</v>
      </c>
      <c r="G18" s="150" t="s">
        <v>414</v>
      </c>
      <c r="H18" s="222">
        <v>27056.171866028708</v>
      </c>
      <c r="I18" s="222">
        <v>24839.44252631579</v>
      </c>
      <c r="J18" s="222">
        <v>28076.0019138756</v>
      </c>
      <c r="K18" s="222">
        <v>17784.767234449759</v>
      </c>
      <c r="L18" s="222">
        <v>18456.766660287081</v>
      </c>
      <c r="M18" s="222">
        <v>21759.355406698567</v>
      </c>
      <c r="N18" s="222">
        <v>26706.319043062202</v>
      </c>
      <c r="O18" s="222">
        <v>26316.030928229669</v>
      </c>
      <c r="P18" s="189">
        <v>545652.12153110048</v>
      </c>
      <c r="Q18" s="190">
        <v>6547825.4583732057</v>
      </c>
      <c r="R18" s="171">
        <v>6543045.5457885936</v>
      </c>
      <c r="S18" s="172">
        <v>478601.97152261628</v>
      </c>
      <c r="T18" s="173">
        <v>5743223.6582713956</v>
      </c>
      <c r="U18" s="330" t="s">
        <v>372</v>
      </c>
      <c r="V18" s="243"/>
      <c r="W18" s="243"/>
    </row>
    <row r="19" spans="1:28" ht="18.75" customHeight="1">
      <c r="A19" s="311"/>
      <c r="B19" s="315"/>
      <c r="C19" s="316"/>
      <c r="D19" s="325"/>
      <c r="E19" s="326"/>
      <c r="F19" s="149" t="s">
        <v>329</v>
      </c>
      <c r="G19" s="150" t="s">
        <v>330</v>
      </c>
      <c r="H19" s="95">
        <v>8455.0537081339717</v>
      </c>
      <c r="I19" s="95">
        <v>7762.3257894736844</v>
      </c>
      <c r="J19" s="95">
        <v>8773.7505980861242</v>
      </c>
      <c r="K19" s="95">
        <v>5557.7397607655503</v>
      </c>
      <c r="L19" s="95">
        <v>5767.7395813397134</v>
      </c>
      <c r="M19" s="95">
        <v>6799.7985645933022</v>
      </c>
      <c r="N19" s="95">
        <v>8345.7247009569382</v>
      </c>
      <c r="O19" s="95">
        <v>8223.7596650717715</v>
      </c>
      <c r="P19" s="189">
        <v>170516.28797846893</v>
      </c>
      <c r="Q19" s="190">
        <v>2046195.4557416271</v>
      </c>
      <c r="R19" s="171">
        <v>2044701.7330589357</v>
      </c>
      <c r="S19" s="172">
        <v>149563.1161008176</v>
      </c>
      <c r="T19" s="173">
        <v>1794757.3932098113</v>
      </c>
      <c r="U19" s="331"/>
      <c r="V19" s="243"/>
      <c r="W19" s="243"/>
    </row>
    <row r="20" spans="1:28" ht="18.75" customHeight="1">
      <c r="A20" s="311"/>
      <c r="B20" s="315"/>
      <c r="C20" s="316"/>
      <c r="D20" s="325"/>
      <c r="E20" s="326"/>
      <c r="F20" s="149" t="s">
        <v>331</v>
      </c>
      <c r="G20" s="150" t="s">
        <v>239</v>
      </c>
      <c r="H20" s="95">
        <v>2029.2128899521529</v>
      </c>
      <c r="I20" s="95">
        <v>1862.9581894736841</v>
      </c>
      <c r="J20" s="95">
        <v>2105.7001435406696</v>
      </c>
      <c r="K20" s="95">
        <v>1333.8575425837319</v>
      </c>
      <c r="L20" s="95">
        <v>1384.2574995215311</v>
      </c>
      <c r="M20" s="95">
        <v>1631.9516555023922</v>
      </c>
      <c r="N20" s="95">
        <v>2002.973928229665</v>
      </c>
      <c r="O20" s="95">
        <v>1973.7023196172249</v>
      </c>
      <c r="P20" s="189">
        <v>40923.909114832531</v>
      </c>
      <c r="Q20" s="190">
        <v>491086.90937799041</v>
      </c>
      <c r="R20" s="171">
        <v>490728.41593414446</v>
      </c>
      <c r="S20" s="172">
        <v>35895.147864196224</v>
      </c>
      <c r="T20" s="173">
        <v>430741.77437035466</v>
      </c>
      <c r="U20" s="151" t="s">
        <v>38</v>
      </c>
      <c r="V20" s="244"/>
      <c r="W20" s="244"/>
      <c r="X20" s="152"/>
      <c r="Y20" s="152"/>
    </row>
    <row r="21" spans="1:28" ht="18.75" customHeight="1">
      <c r="A21" s="311"/>
      <c r="B21" s="315"/>
      <c r="C21" s="316"/>
      <c r="D21" s="325"/>
      <c r="E21" s="326"/>
      <c r="F21" s="149" t="s">
        <v>333</v>
      </c>
      <c r="G21" s="150" t="s">
        <v>240</v>
      </c>
      <c r="H21" s="95">
        <v>152190.96674641146</v>
      </c>
      <c r="I21" s="95">
        <v>139721.86421052631</v>
      </c>
      <c r="J21" s="95">
        <v>157927.51076555022</v>
      </c>
      <c r="K21" s="95">
        <v>100039.31569377989</v>
      </c>
      <c r="L21" s="95">
        <v>103819.31246411483</v>
      </c>
      <c r="M21" s="95">
        <v>122396.37416267942</v>
      </c>
      <c r="N21" s="95">
        <v>150223.04461722489</v>
      </c>
      <c r="O21" s="95">
        <v>148027.67397129186</v>
      </c>
      <c r="P21" s="189">
        <v>3069293.1836124398</v>
      </c>
      <c r="Q21" s="190">
        <v>36831518.203349277</v>
      </c>
      <c r="R21" s="171">
        <v>36804631.195060834</v>
      </c>
      <c r="S21" s="172">
        <v>2692136.0898147165</v>
      </c>
      <c r="T21" s="173">
        <v>32305633.077776596</v>
      </c>
      <c r="U21" s="151" t="s">
        <v>134</v>
      </c>
      <c r="V21" s="244"/>
      <c r="W21" s="244"/>
      <c r="X21" s="126"/>
      <c r="Y21" s="126"/>
    </row>
    <row r="22" spans="1:28" ht="18.75" customHeight="1">
      <c r="A22" s="311"/>
      <c r="B22" s="315"/>
      <c r="C22" s="316"/>
      <c r="D22" s="325"/>
      <c r="E22" s="326"/>
      <c r="F22" s="150" t="s">
        <v>18</v>
      </c>
      <c r="G22" s="150" t="s">
        <v>410</v>
      </c>
      <c r="H22" s="222">
        <v>116003.33687559809</v>
      </c>
      <c r="I22" s="222">
        <v>106499.10983157896</v>
      </c>
      <c r="J22" s="222">
        <v>120375.85820574165</v>
      </c>
      <c r="K22" s="222">
        <v>76252.189517703358</v>
      </c>
      <c r="L22" s="222">
        <v>79133.387055980871</v>
      </c>
      <c r="M22" s="222">
        <v>93293.236306220118</v>
      </c>
      <c r="N22" s="222">
        <v>114503.3428971292</v>
      </c>
      <c r="O22" s="222">
        <v>112829.98260478472</v>
      </c>
      <c r="P22" s="189">
        <v>2339483.4710645936</v>
      </c>
      <c r="Q22" s="190">
        <v>28073801.652775124</v>
      </c>
      <c r="R22" s="171">
        <v>28053307.777568597</v>
      </c>
      <c r="S22" s="172">
        <v>2052005.9529032176</v>
      </c>
      <c r="T22" s="173">
        <v>24624071.434838612</v>
      </c>
      <c r="U22" s="151" t="s">
        <v>135</v>
      </c>
      <c r="V22" s="244"/>
      <c r="W22" s="244"/>
      <c r="X22" s="301" t="s">
        <v>249</v>
      </c>
      <c r="Y22" s="332"/>
    </row>
    <row r="23" spans="1:28" ht="18.75" customHeight="1">
      <c r="A23" s="311"/>
      <c r="B23" s="315"/>
      <c r="C23" s="316"/>
      <c r="D23" s="325"/>
      <c r="E23" s="326"/>
      <c r="F23" s="150" t="s">
        <v>19</v>
      </c>
      <c r="G23" s="150" t="s">
        <v>409</v>
      </c>
      <c r="H23" s="95">
        <v>13363.5844080689</v>
      </c>
      <c r="I23" s="95">
        <v>12268.697452597895</v>
      </c>
      <c r="J23" s="95">
        <v>13867.298865301438</v>
      </c>
      <c r="K23" s="95">
        <v>8784.2522324394267</v>
      </c>
      <c r="L23" s="95">
        <v>9116.1661888489962</v>
      </c>
      <c r="M23" s="95">
        <v>10747.380822476558</v>
      </c>
      <c r="N23" s="95">
        <v>13190.785101749283</v>
      </c>
      <c r="O23" s="95">
        <v>12998.013996071199</v>
      </c>
      <c r="P23" s="189">
        <v>269508.49586664123</v>
      </c>
      <c r="Q23" s="190">
        <v>3234101.950399695</v>
      </c>
      <c r="R23" s="171">
        <v>3231741.0559759033</v>
      </c>
      <c r="S23" s="172">
        <v>236391.08577445071</v>
      </c>
      <c r="T23" s="173">
        <v>2836693.0292934086</v>
      </c>
      <c r="U23" s="151" t="s">
        <v>131</v>
      </c>
      <c r="V23" s="244" t="s">
        <v>400</v>
      </c>
      <c r="W23" s="244"/>
      <c r="X23" s="301" t="s">
        <v>250</v>
      </c>
      <c r="Y23" s="332"/>
    </row>
    <row r="24" spans="1:28" ht="18.75" customHeight="1">
      <c r="A24" s="311"/>
      <c r="B24" s="315"/>
      <c r="C24" s="316"/>
      <c r="D24" s="325"/>
      <c r="E24" s="326" t="s">
        <v>27</v>
      </c>
      <c r="F24" s="149" t="s">
        <v>20</v>
      </c>
      <c r="G24" s="153" t="s">
        <v>366</v>
      </c>
      <c r="H24" s="95">
        <v>10000</v>
      </c>
      <c r="I24" s="95">
        <v>10000</v>
      </c>
      <c r="J24" s="95">
        <v>10000</v>
      </c>
      <c r="K24" s="95">
        <v>10000</v>
      </c>
      <c r="L24" s="95">
        <v>10000</v>
      </c>
      <c r="M24" s="95">
        <v>10000</v>
      </c>
      <c r="N24" s="95">
        <v>10000</v>
      </c>
      <c r="O24" s="95">
        <v>10000</v>
      </c>
      <c r="P24" s="189">
        <v>230000</v>
      </c>
      <c r="Q24" s="190">
        <v>2760000</v>
      </c>
      <c r="R24" s="171">
        <v>2757985.2</v>
      </c>
      <c r="S24" s="172">
        <v>201737.424096</v>
      </c>
      <c r="T24" s="173">
        <v>2420849.0891519999</v>
      </c>
      <c r="U24" s="151"/>
      <c r="V24" s="244" t="s">
        <v>401</v>
      </c>
      <c r="W24" s="244"/>
      <c r="X24" s="126">
        <v>60000</v>
      </c>
      <c r="Y24" s="154" t="s">
        <v>256</v>
      </c>
    </row>
    <row r="25" spans="1:28" ht="18.75" customHeight="1">
      <c r="A25" s="311"/>
      <c r="B25" s="315"/>
      <c r="C25" s="316"/>
      <c r="D25" s="325"/>
      <c r="E25" s="326"/>
      <c r="F25" s="149" t="s">
        <v>21</v>
      </c>
      <c r="G25" s="153" t="s">
        <v>339</v>
      </c>
      <c r="H25" s="95">
        <v>5000</v>
      </c>
      <c r="I25" s="95">
        <v>5000</v>
      </c>
      <c r="J25" s="95">
        <v>5000</v>
      </c>
      <c r="K25" s="95">
        <v>5000</v>
      </c>
      <c r="L25" s="95">
        <v>5000</v>
      </c>
      <c r="M25" s="95">
        <v>5000</v>
      </c>
      <c r="N25" s="95">
        <v>5000</v>
      </c>
      <c r="O25" s="95">
        <v>5000</v>
      </c>
      <c r="P25" s="189">
        <v>115000</v>
      </c>
      <c r="Q25" s="190">
        <v>1380000</v>
      </c>
      <c r="R25" s="171">
        <v>1378992.6</v>
      </c>
      <c r="S25" s="172">
        <v>100868.712048</v>
      </c>
      <c r="T25" s="173">
        <v>1210424.544576</v>
      </c>
      <c r="U25" s="151"/>
      <c r="V25" s="244"/>
      <c r="W25" s="244"/>
      <c r="X25" s="126">
        <v>60000</v>
      </c>
      <c r="Y25" s="154" t="s">
        <v>256</v>
      </c>
      <c r="AA25" s="144"/>
    </row>
    <row r="26" spans="1:28" ht="18.75" customHeight="1">
      <c r="A26" s="311"/>
      <c r="B26" s="315"/>
      <c r="C26" s="316"/>
      <c r="D26" s="325"/>
      <c r="E26" s="326"/>
      <c r="F26" s="232" t="s">
        <v>282</v>
      </c>
      <c r="G26" s="231" t="s">
        <v>396</v>
      </c>
      <c r="H26" s="226">
        <v>173360</v>
      </c>
      <c r="I26" s="226">
        <v>173360</v>
      </c>
      <c r="J26" s="226">
        <v>121600</v>
      </c>
      <c r="K26" s="226">
        <v>173360</v>
      </c>
      <c r="L26" s="226">
        <v>173360</v>
      </c>
      <c r="M26" s="226">
        <v>121600</v>
      </c>
      <c r="N26" s="226">
        <v>173360</v>
      </c>
      <c r="O26" s="226">
        <v>173360</v>
      </c>
      <c r="P26" s="227">
        <v>3521440</v>
      </c>
      <c r="Q26" s="227">
        <v>42257280</v>
      </c>
      <c r="R26" s="228">
        <v>42226432.185599998</v>
      </c>
      <c r="S26" s="229">
        <v>3088722.7596026878</v>
      </c>
      <c r="T26" s="230">
        <v>37064673.115232252</v>
      </c>
      <c r="U26" s="233" t="s">
        <v>398</v>
      </c>
      <c r="V26" s="245"/>
      <c r="W26" s="245"/>
      <c r="X26" s="126"/>
      <c r="Y26" s="154"/>
      <c r="AA26" s="144"/>
    </row>
    <row r="27" spans="1:28" ht="18.75" customHeight="1">
      <c r="A27" s="311"/>
      <c r="B27" s="315"/>
      <c r="C27" s="316"/>
      <c r="D27" s="325"/>
      <c r="E27" s="326"/>
      <c r="F27" s="232" t="s">
        <v>283</v>
      </c>
      <c r="G27" s="231" t="s">
        <v>397</v>
      </c>
      <c r="H27" s="226">
        <v>56342.000000000007</v>
      </c>
      <c r="I27" s="226">
        <v>56342.000000000007</v>
      </c>
      <c r="J27" s="226">
        <v>39520</v>
      </c>
      <c r="K27" s="226">
        <v>56342.000000000007</v>
      </c>
      <c r="L27" s="226">
        <v>56342.000000000007</v>
      </c>
      <c r="M27" s="226">
        <v>39520</v>
      </c>
      <c r="N27" s="226">
        <v>56342.000000000007</v>
      </c>
      <c r="O27" s="226">
        <v>56342.000000000007</v>
      </c>
      <c r="P27" s="227">
        <v>1144468</v>
      </c>
      <c r="Q27" s="227">
        <v>13733616</v>
      </c>
      <c r="R27" s="228">
        <v>13723590.46032</v>
      </c>
      <c r="S27" s="229">
        <v>1003834.8968708735</v>
      </c>
      <c r="T27" s="230">
        <v>12046018.762450483</v>
      </c>
      <c r="U27" s="233" t="s">
        <v>399</v>
      </c>
      <c r="V27" s="245"/>
      <c r="W27" s="245"/>
      <c r="X27" s="126"/>
      <c r="Y27" s="154"/>
      <c r="AA27" s="144"/>
    </row>
    <row r="28" spans="1:28" ht="18.75" customHeight="1">
      <c r="A28" s="311"/>
      <c r="B28" s="315"/>
      <c r="C28" s="316"/>
      <c r="D28" s="333" t="s">
        <v>353</v>
      </c>
      <c r="E28" s="334"/>
      <c r="F28" s="334"/>
      <c r="G28" s="335"/>
      <c r="H28" s="183">
        <v>594238.51984347566</v>
      </c>
      <c r="I28" s="183">
        <v>565600.77084207162</v>
      </c>
      <c r="J28" s="183">
        <v>538831.6226452057</v>
      </c>
      <c r="K28" s="183">
        <v>474461.98512047774</v>
      </c>
      <c r="L28" s="183">
        <v>483143.49194291595</v>
      </c>
      <c r="M28" s="183">
        <v>457227.37175070628</v>
      </c>
      <c r="N28" s="183">
        <v>589718.79921179719</v>
      </c>
      <c r="O28" s="183">
        <v>584676.6982793248</v>
      </c>
      <c r="P28" s="183"/>
      <c r="Q28" s="183">
        <v>0</v>
      </c>
      <c r="R28" s="174">
        <v>0</v>
      </c>
      <c r="S28" s="175">
        <v>0</v>
      </c>
      <c r="T28" s="176">
        <v>0</v>
      </c>
      <c r="U28" s="148"/>
      <c r="V28" s="241"/>
      <c r="W28" s="241"/>
      <c r="X28" s="126"/>
      <c r="Y28" s="126"/>
      <c r="AA28" s="139"/>
    </row>
    <row r="29" spans="1:28" ht="18.75" customHeight="1">
      <c r="A29" s="311"/>
      <c r="B29" s="315"/>
      <c r="C29" s="316"/>
      <c r="D29" s="333" t="s">
        <v>354</v>
      </c>
      <c r="E29" s="334"/>
      <c r="F29" s="334"/>
      <c r="G29" s="335"/>
      <c r="H29" s="183">
        <v>594238.51984347566</v>
      </c>
      <c r="I29" s="183">
        <v>565600.77084207162</v>
      </c>
      <c r="J29" s="183">
        <v>2694158.1132260286</v>
      </c>
      <c r="K29" s="183">
        <v>1897847.9404819109</v>
      </c>
      <c r="L29" s="183">
        <v>966286.9838858319</v>
      </c>
      <c r="M29" s="183">
        <v>1828909.4870028251</v>
      </c>
      <c r="N29" s="183">
        <v>589718.79921179719</v>
      </c>
      <c r="O29" s="183">
        <v>2923383.4913966241</v>
      </c>
      <c r="P29" s="183">
        <v>12060144.105890565</v>
      </c>
      <c r="Q29" s="183">
        <v>144721729.27068678</v>
      </c>
      <c r="R29" s="199">
        <v>144616082.40831918</v>
      </c>
      <c r="S29" s="200">
        <v>10578184.37456052</v>
      </c>
      <c r="T29" s="201">
        <v>126938212.49472624</v>
      </c>
      <c r="U29" s="148"/>
      <c r="V29" s="241"/>
      <c r="W29" s="241"/>
      <c r="X29" s="126"/>
      <c r="Y29" s="126"/>
      <c r="AA29" s="139"/>
    </row>
    <row r="30" spans="1:28" ht="18.75" customHeight="1">
      <c r="A30" s="311"/>
      <c r="B30" s="315"/>
      <c r="C30" s="316"/>
      <c r="D30" s="327" t="s">
        <v>374</v>
      </c>
      <c r="E30" s="328"/>
      <c r="F30" s="328"/>
      <c r="G30" s="329"/>
      <c r="H30" s="195">
        <v>4258095.1267015301</v>
      </c>
      <c r="I30" s="195">
        <v>3929275.2796140015</v>
      </c>
      <c r="J30" s="195">
        <v>21703951.075745966</v>
      </c>
      <c r="K30" s="195">
        <v>11531263.525808863</v>
      </c>
      <c r="L30" s="195">
        <v>5964994.6210469166</v>
      </c>
      <c r="M30" s="195">
        <v>13615226.998964548</v>
      </c>
      <c r="N30" s="195">
        <v>4206199.5029598037</v>
      </c>
      <c r="O30" s="195">
        <v>20741529.432385463</v>
      </c>
      <c r="P30" s="196">
        <v>85950535.563227087</v>
      </c>
      <c r="Q30" s="196">
        <v>1031406426.758725</v>
      </c>
      <c r="R30" s="202">
        <v>1030653500.0671911</v>
      </c>
      <c r="S30" s="203">
        <v>75388868.018248141</v>
      </c>
      <c r="T30" s="204">
        <v>904666416.21897769</v>
      </c>
      <c r="U30" s="197"/>
      <c r="V30" s="246"/>
      <c r="W30" s="246"/>
      <c r="X30" s="126"/>
      <c r="Y30" s="126"/>
      <c r="AA30" s="139"/>
    </row>
    <row r="31" spans="1:28" ht="18.75" customHeight="1">
      <c r="A31" s="311"/>
      <c r="B31" s="315"/>
      <c r="C31" s="316"/>
      <c r="D31" s="302" t="s">
        <v>88</v>
      </c>
      <c r="E31" s="303"/>
      <c r="F31" s="303"/>
      <c r="G31" s="304"/>
      <c r="H31" s="96">
        <v>1</v>
      </c>
      <c r="I31" s="97">
        <v>1</v>
      </c>
      <c r="J31" s="97">
        <v>5</v>
      </c>
      <c r="K31" s="97">
        <v>4</v>
      </c>
      <c r="L31" s="97">
        <v>2</v>
      </c>
      <c r="M31" s="97">
        <v>4</v>
      </c>
      <c r="N31" s="97">
        <v>1</v>
      </c>
      <c r="O31" s="97">
        <v>5</v>
      </c>
      <c r="P31" s="96">
        <v>23</v>
      </c>
      <c r="Q31" s="96"/>
      <c r="R31" s="171">
        <v>0</v>
      </c>
      <c r="S31" s="172">
        <v>0</v>
      </c>
      <c r="T31" s="173">
        <v>0</v>
      </c>
      <c r="U31" s="143"/>
      <c r="V31" s="235"/>
      <c r="W31" s="235"/>
      <c r="X31" s="126"/>
      <c r="Y31" s="126"/>
      <c r="AB31" s="139"/>
    </row>
    <row r="32" spans="1:28" ht="18.75" customHeight="1">
      <c r="A32" s="311"/>
      <c r="B32" s="315"/>
      <c r="C32" s="316"/>
      <c r="D32" s="305" t="s">
        <v>22</v>
      </c>
      <c r="E32" s="306" t="s">
        <v>23</v>
      </c>
      <c r="F32" s="307"/>
      <c r="G32" s="308"/>
      <c r="H32" s="93">
        <v>4258095.1267015301</v>
      </c>
      <c r="I32" s="93">
        <v>3929275.2796140015</v>
      </c>
      <c r="J32" s="93">
        <v>21703951.075745966</v>
      </c>
      <c r="K32" s="93">
        <v>11531263.525808863</v>
      </c>
      <c r="L32" s="93">
        <v>5964994.6210469166</v>
      </c>
      <c r="M32" s="93">
        <v>13615226.998964548</v>
      </c>
      <c r="N32" s="93">
        <v>4206199.5029598037</v>
      </c>
      <c r="O32" s="93">
        <v>20741529.432385463</v>
      </c>
      <c r="P32" s="191">
        <v>85950535.563227087</v>
      </c>
      <c r="Q32" s="178">
        <v>1031406426.758725</v>
      </c>
      <c r="R32" s="171">
        <v>1030653500.0671911</v>
      </c>
      <c r="S32" s="172">
        <v>75388868.018248141</v>
      </c>
      <c r="T32" s="173">
        <v>904666416.21897769</v>
      </c>
      <c r="U32" s="143"/>
      <c r="V32" s="235"/>
      <c r="W32" s="235"/>
      <c r="X32" s="126"/>
      <c r="Y32" s="126"/>
    </row>
    <row r="33" spans="1:25" ht="18.75" customHeight="1">
      <c r="A33" s="311"/>
      <c r="B33" s="315"/>
      <c r="C33" s="316"/>
      <c r="D33" s="305"/>
      <c r="E33" s="309" t="s">
        <v>24</v>
      </c>
      <c r="F33" s="309"/>
      <c r="G33" s="155">
        <v>0.03</v>
      </c>
      <c r="H33" s="99">
        <v>127742.8538010459</v>
      </c>
      <c r="I33" s="99">
        <v>117878.25838842004</v>
      </c>
      <c r="J33" s="99">
        <v>651118.53227237891</v>
      </c>
      <c r="K33" s="99">
        <v>345937.90577426588</v>
      </c>
      <c r="L33" s="99">
        <v>178949.8386314075</v>
      </c>
      <c r="M33" s="99">
        <v>408456.80996893643</v>
      </c>
      <c r="N33" s="99">
        <v>126185.9850887941</v>
      </c>
      <c r="O33" s="99">
        <v>622245.88297156384</v>
      </c>
      <c r="P33" s="191">
        <v>2578516.0668968125</v>
      </c>
      <c r="Q33" s="178">
        <v>30942192.802761748</v>
      </c>
      <c r="R33" s="171">
        <v>30919605.002015732</v>
      </c>
      <c r="S33" s="172">
        <v>2261666.040547444</v>
      </c>
      <c r="T33" s="173">
        <v>27139992.48656933</v>
      </c>
      <c r="U33" s="208"/>
      <c r="V33" s="240"/>
      <c r="W33" s="240"/>
      <c r="Y33" s="156"/>
    </row>
    <row r="34" spans="1:25" ht="18.75" customHeight="1">
      <c r="A34" s="311"/>
      <c r="B34" s="315"/>
      <c r="C34" s="316"/>
      <c r="D34" s="305"/>
      <c r="E34" s="309" t="s">
        <v>44</v>
      </c>
      <c r="F34" s="309"/>
      <c r="G34" s="155">
        <v>0.05</v>
      </c>
      <c r="H34" s="99">
        <v>212904.75633507653</v>
      </c>
      <c r="I34" s="99">
        <v>196463.76398070008</v>
      </c>
      <c r="J34" s="99">
        <v>1085197.5537872983</v>
      </c>
      <c r="K34" s="99">
        <v>576563.17629044317</v>
      </c>
      <c r="L34" s="99">
        <v>298249.73105234583</v>
      </c>
      <c r="M34" s="99">
        <v>680761.34994822741</v>
      </c>
      <c r="N34" s="99">
        <v>210309.97514799019</v>
      </c>
      <c r="O34" s="99">
        <v>1037076.4716192732</v>
      </c>
      <c r="P34" s="191">
        <v>4297526.7781613544</v>
      </c>
      <c r="Q34" s="178">
        <v>51570321.337936252</v>
      </c>
      <c r="R34" s="171">
        <v>51532675.003359556</v>
      </c>
      <c r="S34" s="172">
        <v>3769443.4009124073</v>
      </c>
      <c r="T34" s="173">
        <v>45233320.810948886</v>
      </c>
      <c r="U34" s="208"/>
      <c r="V34" s="240"/>
      <c r="W34" s="240"/>
      <c r="Y34" s="156"/>
    </row>
    <row r="35" spans="1:25" ht="18.75" customHeight="1">
      <c r="A35" s="311"/>
      <c r="B35" s="315"/>
      <c r="C35" s="316"/>
      <c r="D35" s="305"/>
      <c r="E35" s="309" t="s">
        <v>364</v>
      </c>
      <c r="F35" s="309"/>
      <c r="G35" s="257"/>
      <c r="H35" s="99">
        <v>4598742.7368376525</v>
      </c>
      <c r="I35" s="99">
        <v>4243617.3019831218</v>
      </c>
      <c r="J35" s="99">
        <v>23440267.161805645</v>
      </c>
      <c r="K35" s="99">
        <v>12453764.607873572</v>
      </c>
      <c r="L35" s="99">
        <v>6442194.1907306695</v>
      </c>
      <c r="M35" s="99">
        <v>14704445.158881713</v>
      </c>
      <c r="N35" s="99">
        <v>4542695.4631965887</v>
      </c>
      <c r="O35" s="99">
        <v>22400851.7869763</v>
      </c>
      <c r="P35" s="191">
        <v>92826578.40828526</v>
      </c>
      <c r="Q35" s="178">
        <v>1113918940.8994231</v>
      </c>
      <c r="R35" s="171">
        <v>1113105780.0725665</v>
      </c>
      <c r="S35" s="172">
        <v>81419977.45970799</v>
      </c>
      <c r="T35" s="173">
        <v>977039729.51649594</v>
      </c>
      <c r="U35" s="157"/>
      <c r="V35" s="247"/>
      <c r="W35" s="247"/>
    </row>
    <row r="36" spans="1:25" ht="18.75" customHeight="1">
      <c r="A36" s="311"/>
      <c r="B36" s="315"/>
      <c r="C36" s="316"/>
      <c r="D36" s="305"/>
      <c r="E36" s="309" t="s">
        <v>26</v>
      </c>
      <c r="F36" s="309"/>
      <c r="G36" s="155">
        <v>0.1</v>
      </c>
      <c r="H36" s="100">
        <v>459874.27368376526</v>
      </c>
      <c r="I36" s="100">
        <v>424361.7301983122</v>
      </c>
      <c r="J36" s="100">
        <v>2344026.7161805644</v>
      </c>
      <c r="K36" s="100">
        <v>1245376.4607873573</v>
      </c>
      <c r="L36" s="100">
        <v>644219.41907306702</v>
      </c>
      <c r="M36" s="100">
        <v>1470444.5158881713</v>
      </c>
      <c r="N36" s="100">
        <v>454269.54631965887</v>
      </c>
      <c r="O36" s="100">
        <v>2240085.1786976303</v>
      </c>
      <c r="P36" s="191">
        <v>9282657.8408285268</v>
      </c>
      <c r="Q36" s="178">
        <v>111391894.08994232</v>
      </c>
      <c r="R36" s="171">
        <v>111310578.00725666</v>
      </c>
      <c r="S36" s="172">
        <v>8141997.7459708005</v>
      </c>
      <c r="T36" s="173">
        <v>97703972.951649606</v>
      </c>
      <c r="U36" s="143"/>
      <c r="V36" s="235"/>
      <c r="W36" s="235"/>
    </row>
    <row r="37" spans="1:25" ht="18.75" customHeight="1" thickBot="1">
      <c r="A37" s="311"/>
      <c r="B37" s="315"/>
      <c r="C37" s="316"/>
      <c r="D37" s="317" t="s">
        <v>64</v>
      </c>
      <c r="E37" s="318"/>
      <c r="F37" s="318"/>
      <c r="G37" s="319"/>
      <c r="H37" s="98">
        <v>5058617.0105214175</v>
      </c>
      <c r="I37" s="98">
        <v>4667979.0321814343</v>
      </c>
      <c r="J37" s="98">
        <v>25784293.877986208</v>
      </c>
      <c r="K37" s="98">
        <v>13699141.06866093</v>
      </c>
      <c r="L37" s="98">
        <v>7086413.6098037362</v>
      </c>
      <c r="M37" s="98">
        <v>16174889.674769884</v>
      </c>
      <c r="N37" s="98">
        <v>4996965.0095162475</v>
      </c>
      <c r="O37" s="98">
        <v>24640936.965673931</v>
      </c>
      <c r="P37" s="191">
        <v>102109236.2491138</v>
      </c>
      <c r="Q37" s="192">
        <v>1225310834.9893656</v>
      </c>
      <c r="R37" s="205">
        <v>1224416358.0798233</v>
      </c>
      <c r="S37" s="206">
        <v>89561975.205678806</v>
      </c>
      <c r="T37" s="207">
        <v>1074743702.4681456</v>
      </c>
      <c r="U37" s="143"/>
      <c r="V37" s="235"/>
      <c r="W37" s="235"/>
    </row>
    <row r="38" spans="1:25" ht="41.25" customHeight="1" thickBot="1">
      <c r="A38" s="312"/>
      <c r="B38" s="320" t="s">
        <v>107</v>
      </c>
      <c r="C38" s="321"/>
      <c r="D38" s="322" t="s">
        <v>65</v>
      </c>
      <c r="E38" s="323"/>
      <c r="F38" s="324"/>
      <c r="G38" s="158" t="s">
        <v>41</v>
      </c>
      <c r="H38" s="101">
        <v>60703404.12625701</v>
      </c>
      <c r="I38" s="101">
        <v>56015748.386177212</v>
      </c>
      <c r="J38" s="101">
        <v>309411526.53583449</v>
      </c>
      <c r="K38" s="101">
        <v>164389692.82393116</v>
      </c>
      <c r="L38" s="101">
        <v>85036963.317644835</v>
      </c>
      <c r="M38" s="101">
        <v>194098676.0972386</v>
      </c>
      <c r="N38" s="101">
        <v>59963580.114194974</v>
      </c>
      <c r="O38" s="101">
        <v>295691243.5880872</v>
      </c>
      <c r="P38" s="101">
        <v>1225310000</v>
      </c>
      <c r="Q38" s="159"/>
      <c r="R38" s="160"/>
      <c r="S38" s="161"/>
      <c r="T38" s="162"/>
      <c r="U38" s="163"/>
      <c r="V38" s="248"/>
      <c r="W38" s="248"/>
      <c r="X38" s="121" t="s">
        <v>251</v>
      </c>
    </row>
    <row r="39" spans="1:25" ht="18.75" customHeight="1">
      <c r="A39" s="164"/>
      <c r="B39" s="164"/>
      <c r="C39" s="164"/>
      <c r="D39" s="164"/>
      <c r="E39" s="164"/>
      <c r="F39" s="164"/>
    </row>
    <row r="40" spans="1:25" ht="18.75" customHeight="1">
      <c r="A40" s="301"/>
      <c r="B40" s="256"/>
      <c r="C40" s="256"/>
      <c r="D40" s="256"/>
      <c r="E40" s="256"/>
      <c r="F40" s="256"/>
      <c r="H40" s="144"/>
      <c r="I40" s="144"/>
      <c r="J40" s="144"/>
      <c r="K40" s="144"/>
      <c r="L40" s="144"/>
      <c r="M40" s="144"/>
      <c r="N40" s="144"/>
      <c r="O40" s="144"/>
    </row>
    <row r="41" spans="1:25" ht="18.75" customHeight="1">
      <c r="A41" s="301"/>
      <c r="B41" s="256"/>
      <c r="C41" s="256"/>
      <c r="D41" s="256"/>
      <c r="E41" s="256"/>
      <c r="F41" s="256"/>
      <c r="G41" s="258" t="s">
        <v>253</v>
      </c>
      <c r="H41" s="144">
        <f>H15-H14+H26+H27</f>
        <v>3611723.4832535884</v>
      </c>
      <c r="I41" s="144">
        <f t="shared" ref="I41:M41" si="0">I15-I14+I26+I27</f>
        <v>3334632.3157894737</v>
      </c>
      <c r="J41" s="144">
        <f t="shared" si="0"/>
        <v>3670620.2392344498</v>
      </c>
      <c r="K41" s="144">
        <f t="shared" si="0"/>
        <v>2452797.9043062199</v>
      </c>
      <c r="L41" s="144">
        <f t="shared" si="0"/>
        <v>2536797.8325358853</v>
      </c>
      <c r="M41" s="144">
        <f t="shared" si="0"/>
        <v>2881039.4258373207</v>
      </c>
      <c r="N41" s="144"/>
      <c r="O41" s="144"/>
      <c r="U41" s="139">
        <f>P38*87.745%</f>
        <v>1075148259.5</v>
      </c>
      <c r="V41" s="139"/>
      <c r="W41" s="139"/>
      <c r="X41" s="167">
        <v>0.87744999999999995</v>
      </c>
    </row>
    <row r="42" spans="1:25" ht="18.75" customHeight="1">
      <c r="A42" s="301"/>
      <c r="B42" s="256"/>
      <c r="C42" s="256"/>
      <c r="D42" s="256"/>
      <c r="E42" s="256"/>
      <c r="F42" s="256"/>
      <c r="R42" s="121" t="s">
        <v>243</v>
      </c>
      <c r="S42" s="139" t="s">
        <v>245</v>
      </c>
      <c r="T42" s="144">
        <f>T37</f>
        <v>1074743702.4681456</v>
      </c>
      <c r="U42" s="168">
        <f>P38*99%</f>
        <v>1213056900</v>
      </c>
      <c r="V42" s="168"/>
      <c r="W42" s="168"/>
      <c r="X42" s="169">
        <v>0.99</v>
      </c>
    </row>
    <row r="43" spans="1:25" ht="18.75" customHeight="1">
      <c r="A43" s="125"/>
      <c r="B43" s="125"/>
      <c r="C43" s="125"/>
      <c r="D43" s="125"/>
      <c r="E43" s="125"/>
      <c r="F43" s="125"/>
      <c r="G43" s="256">
        <v>2018</v>
      </c>
      <c r="H43" s="170">
        <f>2852739-219441</f>
        <v>2633298</v>
      </c>
      <c r="I43" s="170">
        <f>2375787-182753</f>
        <v>2193034</v>
      </c>
      <c r="J43" s="170">
        <f>2901161-223166</f>
        <v>2677995</v>
      </c>
      <c r="K43" s="144">
        <f>2033509-156424</f>
        <v>1877085</v>
      </c>
      <c r="L43" s="144">
        <f>2033509-156424</f>
        <v>1877085</v>
      </c>
      <c r="M43" s="144">
        <f>2530280-194637</f>
        <v>2335643</v>
      </c>
      <c r="N43" s="144"/>
      <c r="O43" s="144"/>
      <c r="P43" s="184"/>
      <c r="R43" s="121" t="s">
        <v>244</v>
      </c>
      <c r="S43" s="121" t="s">
        <v>246</v>
      </c>
      <c r="T43" s="144">
        <f>R37</f>
        <v>1224416358.0798233</v>
      </c>
    </row>
    <row r="44" spans="1:25" ht="18.75" customHeight="1">
      <c r="H44" s="121">
        <f>H41/H43</f>
        <v>1.3715589664571151</v>
      </c>
      <c r="I44" s="121">
        <f t="shared" ref="I44:M44" si="1">I41/I43</f>
        <v>1.5205565968377479</v>
      </c>
      <c r="J44" s="121">
        <f t="shared" si="1"/>
        <v>1.3706598553150584</v>
      </c>
      <c r="K44" s="121">
        <f t="shared" si="1"/>
        <v>1.3067058254187849</v>
      </c>
      <c r="L44" s="121">
        <f t="shared" si="1"/>
        <v>1.3514560249194285</v>
      </c>
      <c r="M44" s="121">
        <f t="shared" si="1"/>
        <v>1.2335101836356501</v>
      </c>
      <c r="R44" s="121">
        <f>T42/T43</f>
        <v>0.87775999999999998</v>
      </c>
    </row>
    <row r="45" spans="1:25" ht="18.75" customHeight="1"/>
    <row r="46" spans="1:25" ht="18.75" customHeight="1"/>
  </sheetData>
  <mergeCells count="46">
    <mergeCell ref="B1:U1"/>
    <mergeCell ref="A3:A5"/>
    <mergeCell ref="B3:C5"/>
    <mergeCell ref="D3:P3"/>
    <mergeCell ref="U3:U5"/>
    <mergeCell ref="D4:G5"/>
    <mergeCell ref="H4:O4"/>
    <mergeCell ref="P4:P5"/>
    <mergeCell ref="Q4:Q5"/>
    <mergeCell ref="R4:R5"/>
    <mergeCell ref="D16:G16"/>
    <mergeCell ref="S4:T4"/>
    <mergeCell ref="H5:O5"/>
    <mergeCell ref="A6:A38"/>
    <mergeCell ref="B6:C37"/>
    <mergeCell ref="D6:D14"/>
    <mergeCell ref="E6:F7"/>
    <mergeCell ref="G6:G7"/>
    <mergeCell ref="R6:R7"/>
    <mergeCell ref="S6:S7"/>
    <mergeCell ref="T6:T7"/>
    <mergeCell ref="E8:G8"/>
    <mergeCell ref="E9:E12"/>
    <mergeCell ref="E13:F13"/>
    <mergeCell ref="E14:F14"/>
    <mergeCell ref="D15:G15"/>
    <mergeCell ref="D17:D27"/>
    <mergeCell ref="E17:E23"/>
    <mergeCell ref="U18:U19"/>
    <mergeCell ref="X22:Y22"/>
    <mergeCell ref="X23:Y23"/>
    <mergeCell ref="E24:E27"/>
    <mergeCell ref="D37:G37"/>
    <mergeCell ref="B38:C38"/>
    <mergeCell ref="D38:F38"/>
    <mergeCell ref="A40:A42"/>
    <mergeCell ref="D28:G28"/>
    <mergeCell ref="D29:G29"/>
    <mergeCell ref="D30:G30"/>
    <mergeCell ref="D31:G31"/>
    <mergeCell ref="D32:D36"/>
    <mergeCell ref="E32:G32"/>
    <mergeCell ref="E33:F33"/>
    <mergeCell ref="E34:F34"/>
    <mergeCell ref="E35:F35"/>
    <mergeCell ref="E36:F36"/>
  </mergeCells>
  <phoneticPr fontId="18" type="noConversion"/>
  <printOptions horizontalCentered="1"/>
  <pageMargins left="0.19685039370078741" right="0.19685039370078741" top="0.35433070866141736" bottom="0.23622047244094491" header="0.31496062992125984" footer="0.19685039370078741"/>
  <pageSetup paperSize="8" scale="84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K14"/>
  <sheetViews>
    <sheetView view="pageBreakPreview" zoomScale="115" zoomScaleNormal="100" zoomScaleSheetLayoutView="115" workbookViewId="0">
      <selection activeCell="D8" sqref="D8"/>
    </sheetView>
  </sheetViews>
  <sheetFormatPr defaultColWidth="8.75" defaultRowHeight="16.5"/>
  <cols>
    <col min="1" max="1" width="13.5" style="92" customWidth="1"/>
    <col min="2" max="2" width="6.625" style="92" customWidth="1"/>
    <col min="3" max="3" width="11.875" style="92" customWidth="1"/>
    <col min="4" max="4" width="10.625" style="92" customWidth="1"/>
    <col min="5" max="5" width="24.25" style="92" customWidth="1"/>
    <col min="6" max="6" width="11.75" style="92" customWidth="1"/>
    <col min="7" max="7" width="0" style="92" hidden="1" customWidth="1"/>
    <col min="8" max="8" width="9.875" style="92" hidden="1" customWidth="1"/>
    <col min="9" max="9" width="9.5" style="92" hidden="1" customWidth="1"/>
    <col min="10" max="12" width="0" style="92" hidden="1" customWidth="1"/>
    <col min="13" max="16384" width="8.75" style="92"/>
  </cols>
  <sheetData>
    <row r="1" spans="1:11">
      <c r="A1" s="102"/>
      <c r="B1" s="102"/>
      <c r="C1" s="102"/>
      <c r="D1" s="102"/>
      <c r="E1" s="102"/>
      <c r="F1" s="102"/>
    </row>
    <row r="2" spans="1:11" ht="31.5">
      <c r="A2" s="378" t="s">
        <v>424</v>
      </c>
      <c r="B2" s="378"/>
      <c r="C2" s="378"/>
      <c r="D2" s="378"/>
      <c r="E2" s="378"/>
      <c r="F2" s="378"/>
    </row>
    <row r="3" spans="1:11" ht="28.15" customHeight="1">
      <c r="A3" s="110"/>
      <c r="B3" s="110"/>
      <c r="C3" s="110"/>
      <c r="D3" s="110"/>
      <c r="E3" s="110"/>
      <c r="F3" s="110"/>
    </row>
    <row r="4" spans="1:11" ht="28.15" customHeight="1">
      <c r="A4" s="103"/>
    </row>
    <row r="5" spans="1:11" ht="39.6" customHeight="1">
      <c r="A5" s="104" t="s">
        <v>258</v>
      </c>
      <c r="B5" s="105" t="s">
        <v>259</v>
      </c>
      <c r="C5" s="118" t="s">
        <v>402</v>
      </c>
      <c r="D5" s="105" t="s">
        <v>260</v>
      </c>
      <c r="E5" s="105" t="s">
        <v>261</v>
      </c>
      <c r="F5" s="106" t="s">
        <v>262</v>
      </c>
    </row>
    <row r="6" spans="1:11" ht="33" customHeight="1">
      <c r="A6" s="209" t="s">
        <v>263</v>
      </c>
      <c r="B6" s="210">
        <v>1</v>
      </c>
      <c r="C6" s="211">
        <v>119345</v>
      </c>
      <c r="D6" s="210">
        <f>C6/8</f>
        <v>14918.125</v>
      </c>
      <c r="E6" s="212" t="s">
        <v>264</v>
      </c>
      <c r="F6" s="210">
        <v>129</v>
      </c>
      <c r="I6" s="16"/>
      <c r="K6" s="25"/>
    </row>
    <row r="7" spans="1:11" ht="33" customHeight="1">
      <c r="A7" s="213" t="s">
        <v>265</v>
      </c>
      <c r="B7" s="214">
        <v>1</v>
      </c>
      <c r="C7" s="215">
        <v>113564</v>
      </c>
      <c r="D7" s="214">
        <f t="shared" ref="D7:D12" si="0">C7/8</f>
        <v>14195.5</v>
      </c>
      <c r="E7" s="216" t="s">
        <v>367</v>
      </c>
      <c r="F7" s="214">
        <v>97</v>
      </c>
      <c r="G7" s="379" t="s">
        <v>302</v>
      </c>
      <c r="H7" s="380"/>
      <c r="I7" s="380"/>
    </row>
    <row r="8" spans="1:11" ht="33" customHeight="1">
      <c r="A8" s="214" t="s">
        <v>266</v>
      </c>
      <c r="B8" s="214">
        <v>5</v>
      </c>
      <c r="C8" s="215">
        <v>105147</v>
      </c>
      <c r="D8" s="214">
        <f t="shared" si="0"/>
        <v>13143.375</v>
      </c>
      <c r="E8" s="217" t="s">
        <v>391</v>
      </c>
      <c r="F8" s="214">
        <v>88</v>
      </c>
      <c r="G8" s="114" t="s">
        <v>299</v>
      </c>
      <c r="H8" s="115" t="s">
        <v>300</v>
      </c>
      <c r="I8" s="116">
        <v>0.87749999999999995</v>
      </c>
    </row>
    <row r="9" spans="1:11" ht="33" customHeight="1">
      <c r="A9" s="213" t="s">
        <v>267</v>
      </c>
      <c r="B9" s="214">
        <v>5</v>
      </c>
      <c r="C9" s="215">
        <v>81196</v>
      </c>
      <c r="D9" s="214">
        <f t="shared" si="0"/>
        <v>10149.5</v>
      </c>
      <c r="E9" s="214" t="s">
        <v>268</v>
      </c>
      <c r="F9" s="214">
        <v>127</v>
      </c>
      <c r="G9" s="111">
        <v>71837</v>
      </c>
      <c r="H9" s="112">
        <f>G9/8</f>
        <v>8979.625</v>
      </c>
      <c r="I9" s="113">
        <f>H9*I8</f>
        <v>7879.6209374999999</v>
      </c>
      <c r="J9" s="112" t="s">
        <v>303</v>
      </c>
    </row>
    <row r="10" spans="1:11" ht="33" customHeight="1">
      <c r="A10" s="214" t="s">
        <v>269</v>
      </c>
      <c r="B10" s="214">
        <v>5</v>
      </c>
      <c r="C10" s="215">
        <v>81196</v>
      </c>
      <c r="D10" s="214">
        <f t="shared" si="0"/>
        <v>10149.5</v>
      </c>
      <c r="E10" s="214" t="s">
        <v>268</v>
      </c>
      <c r="F10" s="214">
        <v>127</v>
      </c>
      <c r="G10" s="112" t="s">
        <v>301</v>
      </c>
      <c r="H10" s="112"/>
      <c r="I10" s="112"/>
      <c r="J10" s="112"/>
    </row>
    <row r="11" spans="1:11" ht="33" customHeight="1">
      <c r="A11" s="213" t="s">
        <v>371</v>
      </c>
      <c r="B11" s="214">
        <v>1</v>
      </c>
      <c r="C11" s="215">
        <v>104306</v>
      </c>
      <c r="D11" s="214">
        <f t="shared" si="0"/>
        <v>13038.25</v>
      </c>
      <c r="E11" s="213" t="s">
        <v>425</v>
      </c>
      <c r="F11" s="214">
        <v>119</v>
      </c>
      <c r="G11" s="112"/>
      <c r="H11" s="112"/>
      <c r="I11" s="112"/>
      <c r="J11" s="112"/>
    </row>
    <row r="12" spans="1:11" ht="33" customHeight="1">
      <c r="A12" s="218" t="s">
        <v>368</v>
      </c>
      <c r="B12" s="219">
        <v>5</v>
      </c>
      <c r="C12" s="220">
        <v>102759</v>
      </c>
      <c r="D12" s="219">
        <f t="shared" si="0"/>
        <v>12844.875</v>
      </c>
      <c r="E12" s="213" t="s">
        <v>426</v>
      </c>
      <c r="F12" s="219">
        <v>120</v>
      </c>
      <c r="G12" s="112"/>
      <c r="H12" s="112"/>
      <c r="I12" s="112"/>
      <c r="J12" s="112"/>
    </row>
    <row r="13" spans="1:11" ht="33" customHeight="1">
      <c r="A13" s="107" t="s">
        <v>270</v>
      </c>
      <c r="B13" s="107">
        <f>SUM(B6:B12)</f>
        <v>23</v>
      </c>
      <c r="C13" s="119"/>
      <c r="D13" s="107"/>
      <c r="E13" s="107"/>
      <c r="F13" s="107"/>
      <c r="G13" s="16">
        <v>76130</v>
      </c>
      <c r="H13" s="112">
        <f>G13/8</f>
        <v>9516.25</v>
      </c>
      <c r="I13" s="113">
        <f>H13*I8</f>
        <v>8350.5093749999996</v>
      </c>
    </row>
    <row r="14" spans="1:11" ht="28.15" customHeight="1"/>
  </sheetData>
  <mergeCells count="2">
    <mergeCell ref="A2:F2"/>
    <mergeCell ref="G7:I7"/>
  </mergeCells>
  <phoneticPr fontId="18" type="noConversion"/>
  <printOptions horizontalCentered="1"/>
  <pageMargins left="0.39370078740157483" right="0.27559055118110237" top="1.0629921259842521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40"/>
  <sheetViews>
    <sheetView view="pageBreakPreview" topLeftCell="B1" zoomScaleNormal="85" zoomScaleSheetLayoutView="100" workbookViewId="0">
      <selection activeCell="I40" sqref="I40"/>
    </sheetView>
  </sheetViews>
  <sheetFormatPr defaultRowHeight="16.5"/>
  <cols>
    <col min="1" max="1" width="4.5" hidden="1" customWidth="1"/>
    <col min="2" max="2" width="3" bestFit="1" customWidth="1"/>
    <col min="3" max="3" width="5.125" customWidth="1"/>
    <col min="4" max="4" width="3.75" bestFit="1" customWidth="1"/>
    <col min="5" max="5" width="6" bestFit="1" customWidth="1"/>
    <col min="6" max="6" width="13.875" bestFit="1" customWidth="1"/>
    <col min="7" max="7" width="24.5" style="12" bestFit="1" customWidth="1"/>
    <col min="8" max="8" width="12.25" customWidth="1"/>
    <col min="9" max="11" width="12.125" style="1" customWidth="1"/>
    <col min="12" max="13" width="12.125" customWidth="1"/>
    <col min="14" max="14" width="15.375" bestFit="1" customWidth="1"/>
    <col min="15" max="15" width="52.375" customWidth="1"/>
    <col min="16" max="17" width="22.25" bestFit="1" customWidth="1"/>
    <col min="18" max="18" width="34.125" bestFit="1" customWidth="1"/>
    <col min="19" max="19" width="15.625" bestFit="1" customWidth="1"/>
    <col min="20" max="20" width="13.5" bestFit="1" customWidth="1"/>
    <col min="22" max="22" width="10.875" bestFit="1" customWidth="1"/>
  </cols>
  <sheetData>
    <row r="1" spans="1:20" ht="43.15" customHeight="1">
      <c r="B1" s="423" t="s">
        <v>235</v>
      </c>
      <c r="C1" s="423"/>
      <c r="D1" s="423"/>
      <c r="E1" s="423"/>
      <c r="F1" s="423"/>
      <c r="G1" s="423"/>
      <c r="H1" s="423"/>
      <c r="I1" s="423"/>
      <c r="J1" s="423"/>
      <c r="K1" s="423"/>
      <c r="L1" s="423"/>
      <c r="M1" s="423"/>
      <c r="N1" s="423"/>
      <c r="O1" s="423"/>
    </row>
    <row r="2" spans="1:20" ht="43.15" customHeight="1" thickBot="1">
      <c r="A2" s="8"/>
      <c r="B2" s="30"/>
      <c r="C2" s="30"/>
      <c r="D2" s="30"/>
      <c r="E2" s="30"/>
      <c r="F2" s="30"/>
      <c r="G2" s="31"/>
      <c r="H2" s="32"/>
      <c r="I2" s="32"/>
      <c r="J2" s="32"/>
      <c r="K2" s="32"/>
      <c r="L2" s="32"/>
      <c r="M2" s="32"/>
      <c r="N2" s="33"/>
      <c r="O2" s="34" t="s">
        <v>90</v>
      </c>
    </row>
    <row r="3" spans="1:20" ht="18" customHeight="1">
      <c r="A3" s="424" t="s">
        <v>1</v>
      </c>
      <c r="B3" s="427" t="s">
        <v>94</v>
      </c>
      <c r="C3" s="428"/>
      <c r="D3" s="433" t="s">
        <v>160</v>
      </c>
      <c r="E3" s="434"/>
      <c r="F3" s="434"/>
      <c r="G3" s="434"/>
      <c r="H3" s="434"/>
      <c r="I3" s="434"/>
      <c r="J3" s="434"/>
      <c r="K3" s="434"/>
      <c r="L3" s="434"/>
      <c r="M3" s="434"/>
      <c r="N3" s="435"/>
      <c r="O3" s="436" t="s">
        <v>0</v>
      </c>
    </row>
    <row r="4" spans="1:20" ht="18" customHeight="1">
      <c r="A4" s="425"/>
      <c r="B4" s="429"/>
      <c r="C4" s="430"/>
      <c r="D4" s="430" t="s">
        <v>2</v>
      </c>
      <c r="E4" s="430"/>
      <c r="F4" s="430"/>
      <c r="G4" s="430"/>
      <c r="H4" s="430" t="s">
        <v>42</v>
      </c>
      <c r="I4" s="430"/>
      <c r="J4" s="430"/>
      <c r="K4" s="430"/>
      <c r="L4" s="430"/>
      <c r="M4" s="430"/>
      <c r="N4" s="439" t="s">
        <v>28</v>
      </c>
      <c r="O4" s="437"/>
    </row>
    <row r="5" spans="1:20" ht="18" customHeight="1" thickBot="1">
      <c r="A5" s="426"/>
      <c r="B5" s="431"/>
      <c r="C5" s="432"/>
      <c r="D5" s="432"/>
      <c r="E5" s="432"/>
      <c r="F5" s="432"/>
      <c r="G5" s="432"/>
      <c r="H5" s="441" t="s">
        <v>62</v>
      </c>
      <c r="I5" s="442"/>
      <c r="J5" s="442"/>
      <c r="K5" s="442"/>
      <c r="L5" s="442"/>
      <c r="M5" s="443"/>
      <c r="N5" s="440"/>
      <c r="O5" s="438"/>
    </row>
    <row r="6" spans="1:20" ht="21" customHeight="1">
      <c r="A6" s="390" t="s">
        <v>96</v>
      </c>
      <c r="B6" s="411" t="s">
        <v>95</v>
      </c>
      <c r="C6" s="412"/>
      <c r="D6" s="415" t="s">
        <v>4</v>
      </c>
      <c r="E6" s="417" t="s">
        <v>43</v>
      </c>
      <c r="F6" s="418"/>
      <c r="G6" s="421" t="s">
        <v>29</v>
      </c>
      <c r="H6" s="35" t="s">
        <v>48</v>
      </c>
      <c r="I6" s="36" t="s">
        <v>206</v>
      </c>
      <c r="J6" s="36" t="s">
        <v>209</v>
      </c>
      <c r="K6" s="37" t="s">
        <v>196</v>
      </c>
      <c r="L6" s="38" t="s">
        <v>207</v>
      </c>
      <c r="M6" s="38" t="s">
        <v>208</v>
      </c>
      <c r="N6" s="38" t="s">
        <v>3</v>
      </c>
      <c r="O6" s="39"/>
    </row>
    <row r="7" spans="1:20" ht="22.15" customHeight="1">
      <c r="A7" s="391"/>
      <c r="B7" s="413"/>
      <c r="C7" s="414"/>
      <c r="D7" s="416"/>
      <c r="E7" s="419"/>
      <c r="F7" s="420"/>
      <c r="G7" s="422"/>
      <c r="H7" s="40">
        <f>S8</f>
        <v>107247</v>
      </c>
      <c r="I7" s="40">
        <f>S9</f>
        <v>96154</v>
      </c>
      <c r="J7" s="40">
        <f>S10</f>
        <v>71837</v>
      </c>
      <c r="K7" s="40">
        <f>S10</f>
        <v>71837</v>
      </c>
      <c r="L7" s="40">
        <f>S10</f>
        <v>71837</v>
      </c>
      <c r="M7" s="40">
        <f>S10</f>
        <v>71837</v>
      </c>
      <c r="N7" s="48"/>
      <c r="O7" s="41" t="s">
        <v>214</v>
      </c>
      <c r="R7" t="s">
        <v>198</v>
      </c>
      <c r="S7" t="s">
        <v>199</v>
      </c>
    </row>
    <row r="8" spans="1:20" ht="22.15" customHeight="1">
      <c r="A8" s="391"/>
      <c r="B8" s="413"/>
      <c r="C8" s="414"/>
      <c r="D8" s="416"/>
      <c r="E8" s="386" t="s">
        <v>45</v>
      </c>
      <c r="F8" s="387"/>
      <c r="G8" s="388"/>
      <c r="H8" s="40">
        <f t="shared" ref="H8:M8" si="0">H7*26</f>
        <v>2788422</v>
      </c>
      <c r="I8" s="40">
        <f t="shared" si="0"/>
        <v>2500004</v>
      </c>
      <c r="J8" s="40">
        <f t="shared" si="0"/>
        <v>1867762</v>
      </c>
      <c r="K8" s="40">
        <f t="shared" si="0"/>
        <v>1867762</v>
      </c>
      <c r="L8" s="40">
        <f t="shared" si="0"/>
        <v>1867762</v>
      </c>
      <c r="M8" s="40">
        <f t="shared" si="0"/>
        <v>1867762</v>
      </c>
      <c r="N8" s="40"/>
      <c r="O8" s="42" t="s">
        <v>217</v>
      </c>
      <c r="P8" t="s">
        <v>213</v>
      </c>
      <c r="Q8" t="s">
        <v>213</v>
      </c>
      <c r="R8" s="25" t="s">
        <v>200</v>
      </c>
      <c r="S8" s="16">
        <v>107247</v>
      </c>
      <c r="T8" s="5"/>
    </row>
    <row r="9" spans="1:20" ht="18.600000000000001" customHeight="1">
      <c r="A9" s="391"/>
      <c r="B9" s="413"/>
      <c r="C9" s="414"/>
      <c r="D9" s="416"/>
      <c r="E9" s="385" t="s">
        <v>5</v>
      </c>
      <c r="F9" s="48" t="s">
        <v>6</v>
      </c>
      <c r="G9" s="48" t="s">
        <v>46</v>
      </c>
      <c r="H9" s="40">
        <f>H8/209*1.5*27</f>
        <v>540340.14832535887</v>
      </c>
      <c r="I9" s="40">
        <f>I8/209*1.5*0</f>
        <v>0</v>
      </c>
      <c r="J9" s="40">
        <f>J8/209*1.5*$P$9</f>
        <v>361934.74162679428</v>
      </c>
      <c r="K9" s="40">
        <f>K8/209*1.5*0</f>
        <v>0</v>
      </c>
      <c r="L9" s="40">
        <f>L8/209*1.5*0</f>
        <v>0</v>
      </c>
      <c r="M9" s="40">
        <f>M8/209*1.5*$Q$9</f>
        <v>361934.74162679428</v>
      </c>
      <c r="N9" s="40"/>
      <c r="O9" s="43" t="s">
        <v>218</v>
      </c>
      <c r="P9">
        <v>27</v>
      </c>
      <c r="Q9">
        <v>27</v>
      </c>
      <c r="R9" t="s">
        <v>201</v>
      </c>
      <c r="S9" s="16">
        <v>96154</v>
      </c>
      <c r="T9" s="5"/>
    </row>
    <row r="10" spans="1:20">
      <c r="A10" s="391"/>
      <c r="B10" s="413"/>
      <c r="C10" s="414"/>
      <c r="D10" s="416"/>
      <c r="E10" s="385"/>
      <c r="F10" s="48" t="s">
        <v>7</v>
      </c>
      <c r="G10" s="48" t="s">
        <v>39</v>
      </c>
      <c r="H10" s="40">
        <f>H8/209*0.5*0</f>
        <v>0</v>
      </c>
      <c r="I10" s="40">
        <f>I8/209*0.5*0</f>
        <v>0</v>
      </c>
      <c r="J10" s="40">
        <f>J8/209*0.5*$P$10</f>
        <v>120644.9138755981</v>
      </c>
      <c r="K10" s="40">
        <f>K8/209*0.5*0</f>
        <v>0</v>
      </c>
      <c r="L10" s="40">
        <f>L8/209*0.5*0</f>
        <v>0</v>
      </c>
      <c r="M10" s="40">
        <f>M8/209*0.5*$Q$10</f>
        <v>120644.9138755981</v>
      </c>
      <c r="N10" s="40"/>
      <c r="O10" s="43" t="s">
        <v>224</v>
      </c>
      <c r="P10">
        <v>27</v>
      </c>
      <c r="Q10">
        <v>27</v>
      </c>
      <c r="R10" t="s">
        <v>197</v>
      </c>
      <c r="S10" s="16">
        <v>71837</v>
      </c>
      <c r="T10" s="5"/>
    </row>
    <row r="11" spans="1:20">
      <c r="A11" s="391"/>
      <c r="B11" s="413"/>
      <c r="C11" s="414"/>
      <c r="D11" s="416"/>
      <c r="E11" s="385"/>
      <c r="F11" s="48" t="s">
        <v>8</v>
      </c>
      <c r="G11" s="44" t="s">
        <v>40</v>
      </c>
      <c r="H11" s="45">
        <f>H8/209*8*15/12</f>
        <v>133417.32057416267</v>
      </c>
      <c r="I11" s="45">
        <f t="shared" ref="I11:L11" si="1">I8/209*8*15/12</f>
        <v>119617.41626794259</v>
      </c>
      <c r="J11" s="45">
        <f>J8/209*8*15/12</f>
        <v>89366.602870813396</v>
      </c>
      <c r="K11" s="45">
        <f t="shared" si="1"/>
        <v>89366.602870813396</v>
      </c>
      <c r="L11" s="45">
        <f t="shared" si="1"/>
        <v>89366.602870813396</v>
      </c>
      <c r="M11" s="45">
        <f>M8/209*8*15/12</f>
        <v>89366.602870813396</v>
      </c>
      <c r="N11" s="40"/>
      <c r="O11" s="46"/>
      <c r="R11" t="s">
        <v>232</v>
      </c>
      <c r="S11" s="16">
        <v>88351</v>
      </c>
    </row>
    <row r="12" spans="1:20">
      <c r="A12" s="391"/>
      <c r="B12" s="413"/>
      <c r="C12" s="414"/>
      <c r="D12" s="416"/>
      <c r="E12" s="385"/>
      <c r="F12" s="48" t="s">
        <v>34</v>
      </c>
      <c r="G12" s="44" t="s">
        <v>40</v>
      </c>
      <c r="H12" s="45"/>
      <c r="I12" s="45"/>
      <c r="J12" s="45"/>
      <c r="K12" s="45"/>
      <c r="L12" s="45"/>
      <c r="M12" s="45"/>
      <c r="N12" s="40"/>
      <c r="O12" s="47"/>
    </row>
    <row r="13" spans="1:20">
      <c r="A13" s="391"/>
      <c r="B13" s="413"/>
      <c r="C13" s="414"/>
      <c r="D13" s="416"/>
      <c r="E13" s="385"/>
      <c r="F13" s="48" t="s">
        <v>9</v>
      </c>
      <c r="G13" s="48"/>
      <c r="H13" s="40">
        <f t="shared" ref="H13:M13" si="2">SUM(H9:H12)</f>
        <v>673757.46889952151</v>
      </c>
      <c r="I13" s="40">
        <f t="shared" si="2"/>
        <v>119617.41626794259</v>
      </c>
      <c r="J13" s="40">
        <f t="shared" si="2"/>
        <v>571946.25837320578</v>
      </c>
      <c r="K13" s="40">
        <f t="shared" si="2"/>
        <v>89366.602870813396</v>
      </c>
      <c r="L13" s="40">
        <f t="shared" si="2"/>
        <v>89366.602870813396</v>
      </c>
      <c r="M13" s="40">
        <f t="shared" si="2"/>
        <v>571946.25837320578</v>
      </c>
      <c r="N13" s="40"/>
      <c r="O13" s="46"/>
      <c r="S13" s="16"/>
    </row>
    <row r="14" spans="1:20">
      <c r="A14" s="391"/>
      <c r="B14" s="413"/>
      <c r="C14" s="414"/>
      <c r="D14" s="416"/>
      <c r="E14" s="389" t="s">
        <v>215</v>
      </c>
      <c r="F14" s="389"/>
      <c r="G14" s="49" t="s">
        <v>231</v>
      </c>
      <c r="H14" s="89"/>
      <c r="I14" s="89"/>
      <c r="J14" s="89"/>
      <c r="K14" s="89"/>
      <c r="L14" s="89"/>
      <c r="M14" s="89"/>
      <c r="N14" s="40"/>
      <c r="O14" s="71" t="s">
        <v>230</v>
      </c>
      <c r="P14" t="s">
        <v>233</v>
      </c>
    </row>
    <row r="15" spans="1:20">
      <c r="A15" s="391"/>
      <c r="B15" s="413"/>
      <c r="C15" s="414"/>
      <c r="D15" s="416"/>
      <c r="E15" s="389" t="s">
        <v>11</v>
      </c>
      <c r="F15" s="389"/>
      <c r="G15" s="44" t="s">
        <v>35</v>
      </c>
      <c r="H15" s="40">
        <f t="shared" ref="H15:M15" si="3">(H8+H13)/12</f>
        <v>288514.95574162679</v>
      </c>
      <c r="I15" s="40">
        <f t="shared" si="3"/>
        <v>218301.78468899522</v>
      </c>
      <c r="J15" s="40">
        <f t="shared" si="3"/>
        <v>203309.02153110047</v>
      </c>
      <c r="K15" s="40">
        <f t="shared" si="3"/>
        <v>163094.05023923444</v>
      </c>
      <c r="L15" s="40">
        <f t="shared" si="3"/>
        <v>163094.05023923444</v>
      </c>
      <c r="M15" s="40">
        <f t="shared" si="3"/>
        <v>203309.02153110047</v>
      </c>
      <c r="N15" s="40"/>
      <c r="O15" s="69"/>
      <c r="P15" t="s">
        <v>234</v>
      </c>
    </row>
    <row r="16" spans="1:20" ht="21.75" customHeight="1">
      <c r="A16" s="391"/>
      <c r="B16" s="413"/>
      <c r="C16" s="414"/>
      <c r="D16" s="400" t="s">
        <v>36</v>
      </c>
      <c r="E16" s="401"/>
      <c r="F16" s="401"/>
      <c r="G16" s="402"/>
      <c r="H16" s="50">
        <f>H8+H13+H15+H14</f>
        <v>3750694.4246411482</v>
      </c>
      <c r="I16" s="50">
        <f t="shared" ref="I16:M16" si="4">I8+I13+I15+I14</f>
        <v>2837923.2009569379</v>
      </c>
      <c r="J16" s="50">
        <f t="shared" si="4"/>
        <v>2643017.2799043059</v>
      </c>
      <c r="K16" s="50">
        <f t="shared" si="4"/>
        <v>2120222.6531100478</v>
      </c>
      <c r="L16" s="50">
        <f t="shared" si="4"/>
        <v>2120222.6531100478</v>
      </c>
      <c r="M16" s="50">
        <f t="shared" si="4"/>
        <v>2643017.2799043059</v>
      </c>
      <c r="N16" s="51">
        <f>SUM(H16:M16)</f>
        <v>16115097.491626794</v>
      </c>
      <c r="O16" s="52"/>
    </row>
    <row r="17" spans="1:20" ht="16.5" customHeight="1">
      <c r="A17" s="391"/>
      <c r="B17" s="413"/>
      <c r="C17" s="414"/>
      <c r="D17" s="393" t="s">
        <v>12</v>
      </c>
      <c r="E17" s="395" t="s">
        <v>13</v>
      </c>
      <c r="F17" s="72" t="s">
        <v>14</v>
      </c>
      <c r="G17" s="73" t="s">
        <v>221</v>
      </c>
      <c r="H17" s="53">
        <f t="shared" ref="H17:M17" si="5">(H$8+H$13)*0.0175</f>
        <v>60588.140705741629</v>
      </c>
      <c r="I17" s="53">
        <f t="shared" si="5"/>
        <v>45843.374784689004</v>
      </c>
      <c r="J17" s="53">
        <f t="shared" si="5"/>
        <v>42694.894521531103</v>
      </c>
      <c r="K17" s="53">
        <f t="shared" si="5"/>
        <v>34249.750550239238</v>
      </c>
      <c r="L17" s="53">
        <f t="shared" si="5"/>
        <v>34249.750550239238</v>
      </c>
      <c r="M17" s="53">
        <f t="shared" si="5"/>
        <v>42694.894521531103</v>
      </c>
      <c r="N17" s="53"/>
      <c r="O17" s="54" t="s">
        <v>127</v>
      </c>
    </row>
    <row r="18" spans="1:20" ht="15.6" customHeight="1">
      <c r="A18" s="391"/>
      <c r="B18" s="413"/>
      <c r="C18" s="414"/>
      <c r="D18" s="394"/>
      <c r="E18" s="395"/>
      <c r="F18" s="72" t="s">
        <v>15</v>
      </c>
      <c r="G18" s="74" t="s">
        <v>33</v>
      </c>
      <c r="H18" s="53">
        <f t="shared" ref="H18:M18" si="6">(H$8+H$13)*0.0065</f>
        <v>22504.166547846889</v>
      </c>
      <c r="I18" s="53">
        <f t="shared" si="6"/>
        <v>17027.539205741625</v>
      </c>
      <c r="J18" s="53">
        <f t="shared" si="6"/>
        <v>15858.103679425836</v>
      </c>
      <c r="K18" s="53">
        <f t="shared" si="6"/>
        <v>12721.335918660287</v>
      </c>
      <c r="L18" s="53">
        <f t="shared" si="6"/>
        <v>12721.335918660287</v>
      </c>
      <c r="M18" s="53">
        <f t="shared" si="6"/>
        <v>15858.103679425836</v>
      </c>
      <c r="N18" s="53"/>
      <c r="O18" s="396" t="s">
        <v>133</v>
      </c>
    </row>
    <row r="19" spans="1:20">
      <c r="A19" s="391"/>
      <c r="B19" s="413"/>
      <c r="C19" s="414"/>
      <c r="D19" s="394"/>
      <c r="E19" s="395"/>
      <c r="F19" s="72" t="s">
        <v>30</v>
      </c>
      <c r="G19" s="74" t="s">
        <v>31</v>
      </c>
      <c r="H19" s="53">
        <f t="shared" ref="H19:M19" si="7">(H$8+H$13)*0.0025</f>
        <v>8655.4486722488036</v>
      </c>
      <c r="I19" s="53">
        <f t="shared" si="7"/>
        <v>6549.0535406698564</v>
      </c>
      <c r="J19" s="53">
        <f t="shared" si="7"/>
        <v>6099.2706459330138</v>
      </c>
      <c r="K19" s="53">
        <f t="shared" si="7"/>
        <v>4892.8215071770337</v>
      </c>
      <c r="L19" s="53">
        <f t="shared" si="7"/>
        <v>4892.8215071770337</v>
      </c>
      <c r="M19" s="53">
        <f t="shared" si="7"/>
        <v>6099.2706459330138</v>
      </c>
      <c r="N19" s="53"/>
      <c r="O19" s="397"/>
    </row>
    <row r="20" spans="1:20">
      <c r="A20" s="391"/>
      <c r="B20" s="413"/>
      <c r="C20" s="414"/>
      <c r="D20" s="394"/>
      <c r="E20" s="395"/>
      <c r="F20" s="72" t="s">
        <v>32</v>
      </c>
      <c r="G20" s="74" t="s">
        <v>126</v>
      </c>
      <c r="H20" s="53">
        <f t="shared" ref="H20:M20" si="8">(H$8+H$13)*0.0006</f>
        <v>2077.3076813397129</v>
      </c>
      <c r="I20" s="53">
        <f t="shared" si="8"/>
        <v>1571.7728497607654</v>
      </c>
      <c r="J20" s="53">
        <f t="shared" si="8"/>
        <v>1463.8249550239232</v>
      </c>
      <c r="K20" s="53">
        <f t="shared" si="8"/>
        <v>1174.2771617224878</v>
      </c>
      <c r="L20" s="53">
        <f t="shared" si="8"/>
        <v>1174.2771617224878</v>
      </c>
      <c r="M20" s="53">
        <f t="shared" si="8"/>
        <v>1463.8249550239232</v>
      </c>
      <c r="N20" s="53"/>
      <c r="O20" s="55" t="s">
        <v>38</v>
      </c>
      <c r="P20" s="6"/>
      <c r="Q20" s="6"/>
    </row>
    <row r="21" spans="1:20">
      <c r="A21" s="391"/>
      <c r="B21" s="413"/>
      <c r="C21" s="414"/>
      <c r="D21" s="394"/>
      <c r="E21" s="395"/>
      <c r="F21" s="72" t="s">
        <v>16</v>
      </c>
      <c r="G21" s="74" t="s">
        <v>17</v>
      </c>
      <c r="H21" s="53">
        <f t="shared" ref="H21:M21" si="9">(H$8+H$13)*0.045</f>
        <v>155798.07610047847</v>
      </c>
      <c r="I21" s="53">
        <f t="shared" si="9"/>
        <v>117882.96373205741</v>
      </c>
      <c r="J21" s="53">
        <f t="shared" si="9"/>
        <v>109786.87162679425</v>
      </c>
      <c r="K21" s="53">
        <f t="shared" si="9"/>
        <v>88070.787129186603</v>
      </c>
      <c r="L21" s="53">
        <f t="shared" si="9"/>
        <v>88070.787129186603</v>
      </c>
      <c r="M21" s="53">
        <f t="shared" si="9"/>
        <v>109786.87162679425</v>
      </c>
      <c r="N21" s="53"/>
      <c r="O21" s="55" t="s">
        <v>134</v>
      </c>
      <c r="P21" s="7"/>
      <c r="Q21" s="7"/>
    </row>
    <row r="22" spans="1:20">
      <c r="A22" s="391"/>
      <c r="B22" s="413"/>
      <c r="C22" s="414"/>
      <c r="D22" s="394"/>
      <c r="E22" s="395"/>
      <c r="F22" s="74" t="s">
        <v>18</v>
      </c>
      <c r="G22" s="74" t="s">
        <v>222</v>
      </c>
      <c r="H22" s="53">
        <f t="shared" ref="H22:M22" si="10">(H$8+H$13)*3.12%</f>
        <v>108019.99942966508</v>
      </c>
      <c r="I22" s="53">
        <f t="shared" si="10"/>
        <v>81732.188187559819</v>
      </c>
      <c r="J22" s="53">
        <f t="shared" si="10"/>
        <v>76118.897661244016</v>
      </c>
      <c r="K22" s="53">
        <f t="shared" si="10"/>
        <v>61062.412409569377</v>
      </c>
      <c r="L22" s="53">
        <f t="shared" si="10"/>
        <v>61062.412409569377</v>
      </c>
      <c r="M22" s="53">
        <f t="shared" si="10"/>
        <v>76118.897661244016</v>
      </c>
      <c r="N22" s="53"/>
      <c r="O22" s="55" t="s">
        <v>135</v>
      </c>
      <c r="P22" s="7"/>
      <c r="Q22" s="7"/>
    </row>
    <row r="23" spans="1:20" ht="16.5" customHeight="1">
      <c r="A23" s="391"/>
      <c r="B23" s="413"/>
      <c r="C23" s="414"/>
      <c r="D23" s="394"/>
      <c r="E23" s="395"/>
      <c r="F23" s="74" t="s">
        <v>19</v>
      </c>
      <c r="G23" s="74" t="s">
        <v>223</v>
      </c>
      <c r="H23" s="53">
        <f t="shared" ref="H23:M23" si="11">H22*0.0738</f>
        <v>7971.8759579092839</v>
      </c>
      <c r="I23" s="53">
        <f t="shared" si="11"/>
        <v>6031.8354882419153</v>
      </c>
      <c r="J23" s="53">
        <f t="shared" si="11"/>
        <v>5617.5746473998088</v>
      </c>
      <c r="K23" s="53">
        <f t="shared" si="11"/>
        <v>4506.4060358262204</v>
      </c>
      <c r="L23" s="53">
        <f t="shared" si="11"/>
        <v>4506.4060358262204</v>
      </c>
      <c r="M23" s="53">
        <f t="shared" si="11"/>
        <v>5617.5746473998088</v>
      </c>
      <c r="N23" s="53"/>
      <c r="O23" s="55" t="s">
        <v>131</v>
      </c>
      <c r="P23" s="7"/>
      <c r="Q23" s="7"/>
    </row>
    <row r="24" spans="1:20" ht="16.5" customHeight="1">
      <c r="A24" s="391"/>
      <c r="B24" s="413"/>
      <c r="C24" s="414"/>
      <c r="D24" s="394"/>
      <c r="E24" s="398" t="s">
        <v>27</v>
      </c>
      <c r="F24" s="72" t="s">
        <v>20</v>
      </c>
      <c r="G24" s="72" t="s">
        <v>120</v>
      </c>
      <c r="H24" s="53">
        <f t="shared" ref="H24:K24" si="12">60000*2/12</f>
        <v>10000</v>
      </c>
      <c r="I24" s="53">
        <f t="shared" si="12"/>
        <v>10000</v>
      </c>
      <c r="J24" s="53">
        <f t="shared" si="12"/>
        <v>10000</v>
      </c>
      <c r="K24" s="53">
        <f t="shared" si="12"/>
        <v>10000</v>
      </c>
      <c r="L24" s="53">
        <f>60000*2/12</f>
        <v>10000</v>
      </c>
      <c r="M24" s="53">
        <f>60000*2/12</f>
        <v>10000</v>
      </c>
      <c r="N24" s="53"/>
      <c r="O24" s="55"/>
      <c r="P24" s="7"/>
      <c r="Q24" s="7"/>
    </row>
    <row r="25" spans="1:20">
      <c r="A25" s="391"/>
      <c r="B25" s="413"/>
      <c r="C25" s="414"/>
      <c r="D25" s="394"/>
      <c r="E25" s="399"/>
      <c r="F25" s="72" t="s">
        <v>21</v>
      </c>
      <c r="G25" s="72" t="s">
        <v>47</v>
      </c>
      <c r="H25" s="53">
        <f t="shared" ref="H25:K25" si="13">50400/12</f>
        <v>4200</v>
      </c>
      <c r="I25" s="53">
        <f t="shared" si="13"/>
        <v>4200</v>
      </c>
      <c r="J25" s="53">
        <f t="shared" si="13"/>
        <v>4200</v>
      </c>
      <c r="K25" s="53">
        <f t="shared" si="13"/>
        <v>4200</v>
      </c>
      <c r="L25" s="53">
        <f>50400/12</f>
        <v>4200</v>
      </c>
      <c r="M25" s="53">
        <f>50400/12</f>
        <v>4200</v>
      </c>
      <c r="N25" s="53"/>
      <c r="O25" s="55"/>
      <c r="P25" s="7"/>
      <c r="Q25" s="7"/>
      <c r="S25" s="4"/>
    </row>
    <row r="26" spans="1:20" ht="21.75" customHeight="1">
      <c r="A26" s="391"/>
      <c r="B26" s="413"/>
      <c r="C26" s="414"/>
      <c r="D26" s="400" t="s">
        <v>37</v>
      </c>
      <c r="E26" s="401"/>
      <c r="F26" s="401"/>
      <c r="G26" s="402"/>
      <c r="H26" s="50">
        <f t="shared" ref="H26" si="14">SUM(H17:H25)</f>
        <v>379815.01509522984</v>
      </c>
      <c r="I26" s="50">
        <f t="shared" ref="I26:L26" si="15">SUM(I17:I25)</f>
        <v>290838.7277887204</v>
      </c>
      <c r="J26" s="50">
        <f t="shared" si="15"/>
        <v>271839.43773735198</v>
      </c>
      <c r="K26" s="50">
        <f t="shared" si="15"/>
        <v>220877.79071238122</v>
      </c>
      <c r="L26" s="50">
        <f t="shared" si="15"/>
        <v>220877.79071238122</v>
      </c>
      <c r="M26" s="50">
        <f>SUM(M17:M25)</f>
        <v>271839.43773735198</v>
      </c>
      <c r="N26" s="51">
        <f t="shared" ref="N26:N34" si="16">SUM(H26:M26)</f>
        <v>1656088.1997834167</v>
      </c>
      <c r="O26" s="52"/>
      <c r="P26" s="7"/>
      <c r="Q26" s="7"/>
      <c r="S26" s="5"/>
    </row>
    <row r="27" spans="1:20" ht="24" customHeight="1">
      <c r="A27" s="391"/>
      <c r="B27" s="413"/>
      <c r="C27" s="414"/>
      <c r="D27" s="400" t="s">
        <v>63</v>
      </c>
      <c r="E27" s="401"/>
      <c r="F27" s="401"/>
      <c r="G27" s="402"/>
      <c r="H27" s="56">
        <f t="shared" ref="H27:I27" si="17">H16+H26</f>
        <v>4130509.4397363779</v>
      </c>
      <c r="I27" s="56">
        <f t="shared" si="17"/>
        <v>3128761.9287456581</v>
      </c>
      <c r="J27" s="56">
        <f>J16+J26</f>
        <v>2914856.7176416581</v>
      </c>
      <c r="K27" s="56">
        <f t="shared" ref="K27:M27" si="18">K16+K26</f>
        <v>2341100.443822429</v>
      </c>
      <c r="L27" s="56">
        <f t="shared" si="18"/>
        <v>2341100.443822429</v>
      </c>
      <c r="M27" s="56">
        <f t="shared" si="18"/>
        <v>2914856.7176416581</v>
      </c>
      <c r="N27" s="51">
        <f t="shared" si="16"/>
        <v>17771185.69141021</v>
      </c>
      <c r="O27" s="52"/>
      <c r="P27" s="7"/>
      <c r="Q27" s="7"/>
      <c r="S27" s="5"/>
    </row>
    <row r="28" spans="1:20" ht="23.25" customHeight="1">
      <c r="A28" s="391"/>
      <c r="B28" s="413"/>
      <c r="C28" s="414"/>
      <c r="D28" s="382" t="s">
        <v>88</v>
      </c>
      <c r="E28" s="383"/>
      <c r="F28" s="383"/>
      <c r="G28" s="384"/>
      <c r="H28" s="57">
        <v>1</v>
      </c>
      <c r="I28" s="58">
        <v>1</v>
      </c>
      <c r="J28" s="58">
        <v>5</v>
      </c>
      <c r="K28" s="58">
        <v>5</v>
      </c>
      <c r="L28" s="58">
        <v>1</v>
      </c>
      <c r="M28" s="58">
        <v>4</v>
      </c>
      <c r="N28" s="57">
        <f t="shared" si="16"/>
        <v>17</v>
      </c>
      <c r="O28" s="46"/>
      <c r="P28" s="7"/>
      <c r="Q28" s="7"/>
      <c r="T28" s="5"/>
    </row>
    <row r="29" spans="1:20" ht="16.5" customHeight="1">
      <c r="A29" s="391"/>
      <c r="B29" s="413"/>
      <c r="C29" s="414"/>
      <c r="D29" s="385" t="s">
        <v>22</v>
      </c>
      <c r="E29" s="386" t="s">
        <v>23</v>
      </c>
      <c r="F29" s="387"/>
      <c r="G29" s="388"/>
      <c r="H29" s="40">
        <f>H27*H28</f>
        <v>4130509.4397363779</v>
      </c>
      <c r="I29" s="40">
        <f t="shared" ref="I29:M29" si="19">I27*I28</f>
        <v>3128761.9287456581</v>
      </c>
      <c r="J29" s="40">
        <f t="shared" si="19"/>
        <v>14574283.588208292</v>
      </c>
      <c r="K29" s="40">
        <f t="shared" si="19"/>
        <v>11705502.219112145</v>
      </c>
      <c r="L29" s="40">
        <f t="shared" si="19"/>
        <v>2341100.443822429</v>
      </c>
      <c r="M29" s="40">
        <f t="shared" si="19"/>
        <v>11659426.870566633</v>
      </c>
      <c r="N29" s="59">
        <f t="shared" si="16"/>
        <v>47539584.490191534</v>
      </c>
      <c r="O29" s="46"/>
      <c r="P29" s="7"/>
      <c r="Q29" s="7"/>
    </row>
    <row r="30" spans="1:20">
      <c r="A30" s="391"/>
      <c r="B30" s="413"/>
      <c r="C30" s="414"/>
      <c r="D30" s="385"/>
      <c r="E30" s="389" t="s">
        <v>24</v>
      </c>
      <c r="F30" s="389"/>
      <c r="G30" s="60">
        <v>0.09</v>
      </c>
      <c r="H30" s="61">
        <f>H29*$G$30</f>
        <v>371745.84957627399</v>
      </c>
      <c r="I30" s="61">
        <f t="shared" ref="I30:M30" si="20">I29*$G$30</f>
        <v>281588.57358710922</v>
      </c>
      <c r="J30" s="61">
        <f t="shared" si="20"/>
        <v>1311685.5229387463</v>
      </c>
      <c r="K30" s="61">
        <f t="shared" si="20"/>
        <v>1053495.199720093</v>
      </c>
      <c r="L30" s="61">
        <f t="shared" si="20"/>
        <v>210699.03994401862</v>
      </c>
      <c r="M30" s="61">
        <f t="shared" si="20"/>
        <v>1049348.4183509969</v>
      </c>
      <c r="N30" s="59">
        <f t="shared" si="16"/>
        <v>4278562.604117238</v>
      </c>
      <c r="O30" s="75" t="s">
        <v>226</v>
      </c>
      <c r="Q30" s="90" t="s">
        <v>237</v>
      </c>
    </row>
    <row r="31" spans="1:20" ht="33.75">
      <c r="A31" s="391"/>
      <c r="B31" s="413"/>
      <c r="C31" s="414"/>
      <c r="D31" s="385"/>
      <c r="E31" s="389" t="s">
        <v>44</v>
      </c>
      <c r="F31" s="389"/>
      <c r="G31" s="60">
        <v>0.1</v>
      </c>
      <c r="H31" s="61">
        <f>H29*$G$31</f>
        <v>413050.94397363783</v>
      </c>
      <c r="I31" s="61">
        <f t="shared" ref="I31:M31" si="21">I29*$G$31</f>
        <v>312876.19287456584</v>
      </c>
      <c r="J31" s="61">
        <f t="shared" si="21"/>
        <v>1457428.3588208293</v>
      </c>
      <c r="K31" s="61">
        <f t="shared" si="21"/>
        <v>1170550.2219112145</v>
      </c>
      <c r="L31" s="61">
        <f t="shared" si="21"/>
        <v>234110.04438224292</v>
      </c>
      <c r="M31" s="61">
        <f t="shared" si="21"/>
        <v>1165942.6870566632</v>
      </c>
      <c r="N31" s="59">
        <f t="shared" si="16"/>
        <v>4753958.4490191536</v>
      </c>
      <c r="O31" s="75" t="s">
        <v>225</v>
      </c>
      <c r="Q31" s="91" t="s">
        <v>238</v>
      </c>
    </row>
    <row r="32" spans="1:20">
      <c r="A32" s="391"/>
      <c r="B32" s="413"/>
      <c r="C32" s="414"/>
      <c r="D32" s="385"/>
      <c r="E32" s="389" t="s">
        <v>25</v>
      </c>
      <c r="F32" s="389"/>
      <c r="G32" s="48"/>
      <c r="H32" s="61">
        <f>H29+H30+H31</f>
        <v>4915306.2332862904</v>
      </c>
      <c r="I32" s="61">
        <f t="shared" ref="I32:M32" si="22">I29+I30+I31</f>
        <v>3723226.6952073332</v>
      </c>
      <c r="J32" s="61">
        <f t="shared" si="22"/>
        <v>17343397.469967868</v>
      </c>
      <c r="K32" s="61">
        <f t="shared" si="22"/>
        <v>13929547.640743453</v>
      </c>
      <c r="L32" s="61">
        <f t="shared" si="22"/>
        <v>2785909.5281486907</v>
      </c>
      <c r="M32" s="61">
        <f t="shared" si="22"/>
        <v>13874717.975974292</v>
      </c>
      <c r="N32" s="59">
        <f t="shared" si="16"/>
        <v>56572105.54332792</v>
      </c>
      <c r="O32" s="62"/>
    </row>
    <row r="33" spans="1:15">
      <c r="A33" s="391"/>
      <c r="B33" s="413"/>
      <c r="C33" s="414"/>
      <c r="D33" s="385"/>
      <c r="E33" s="389" t="s">
        <v>26</v>
      </c>
      <c r="F33" s="389"/>
      <c r="G33" s="63">
        <v>0.1</v>
      </c>
      <c r="H33" s="64">
        <f>H32*$G$33</f>
        <v>491530.62332862907</v>
      </c>
      <c r="I33" s="64">
        <f t="shared" ref="I33:M33" si="23">I32*$G$33</f>
        <v>372322.66952073335</v>
      </c>
      <c r="J33" s="64">
        <f t="shared" si="23"/>
        <v>1734339.7469967869</v>
      </c>
      <c r="K33" s="64">
        <f t="shared" si="23"/>
        <v>1392954.7640743454</v>
      </c>
      <c r="L33" s="64">
        <f t="shared" si="23"/>
        <v>278590.95281486906</v>
      </c>
      <c r="M33" s="64">
        <f t="shared" si="23"/>
        <v>1387471.7975974292</v>
      </c>
      <c r="N33" s="59">
        <f t="shared" si="16"/>
        <v>5657210.5543327928</v>
      </c>
      <c r="O33" s="46"/>
    </row>
    <row r="34" spans="1:15" ht="21.75" customHeight="1" thickBot="1">
      <c r="A34" s="391"/>
      <c r="B34" s="413"/>
      <c r="C34" s="414"/>
      <c r="D34" s="403" t="s">
        <v>64</v>
      </c>
      <c r="E34" s="404"/>
      <c r="F34" s="404"/>
      <c r="G34" s="405"/>
      <c r="H34" s="59">
        <f>H32+H33</f>
        <v>5406836.8566149194</v>
      </c>
      <c r="I34" s="59">
        <f t="shared" ref="I34:M34" si="24">I32+I33</f>
        <v>4095549.3647280666</v>
      </c>
      <c r="J34" s="59">
        <f t="shared" si="24"/>
        <v>19077737.216964655</v>
      </c>
      <c r="K34" s="59">
        <f t="shared" si="24"/>
        <v>15322502.404817799</v>
      </c>
      <c r="L34" s="59">
        <f t="shared" si="24"/>
        <v>3064500.4809635598</v>
      </c>
      <c r="M34" s="59">
        <f t="shared" si="24"/>
        <v>15262189.77357172</v>
      </c>
      <c r="N34" s="59">
        <f t="shared" si="16"/>
        <v>62229316.09766072</v>
      </c>
      <c r="O34" s="46"/>
    </row>
    <row r="35" spans="1:15" ht="31.5" customHeight="1" thickBot="1">
      <c r="A35" s="392"/>
      <c r="B35" s="406" t="s">
        <v>10</v>
      </c>
      <c r="C35" s="407"/>
      <c r="D35" s="408" t="s">
        <v>65</v>
      </c>
      <c r="E35" s="409"/>
      <c r="F35" s="410"/>
      <c r="G35" s="65" t="s">
        <v>41</v>
      </c>
      <c r="H35" s="66"/>
      <c r="I35" s="66"/>
      <c r="J35" s="66"/>
      <c r="K35" s="66"/>
      <c r="L35" s="66"/>
      <c r="M35" s="66"/>
      <c r="N35" s="67">
        <f>N34*12</f>
        <v>746751793.17192864</v>
      </c>
      <c r="O35" s="68"/>
    </row>
    <row r="36" spans="1:15">
      <c r="A36" s="22"/>
      <c r="B36" s="2"/>
      <c r="C36" s="2"/>
      <c r="D36" s="2"/>
      <c r="E36" s="2"/>
      <c r="F36" s="2"/>
    </row>
    <row r="37" spans="1:15">
      <c r="A37" s="381"/>
      <c r="B37" s="26"/>
      <c r="C37" s="26"/>
      <c r="D37" s="26"/>
      <c r="E37" s="26"/>
      <c r="F37" s="26"/>
      <c r="H37" s="4">
        <f>H16-H15</f>
        <v>3462179.4688995215</v>
      </c>
      <c r="I37" s="4">
        <f t="shared" ref="I37:M37" si="25">I16-I15</f>
        <v>2619621.4162679426</v>
      </c>
      <c r="J37" s="4">
        <f t="shared" si="25"/>
        <v>2439708.2583732056</v>
      </c>
      <c r="K37" s="4">
        <f t="shared" si="25"/>
        <v>1957128.6028708133</v>
      </c>
      <c r="L37" s="4">
        <f t="shared" si="25"/>
        <v>1957128.6028708133</v>
      </c>
      <c r="M37" s="4">
        <f t="shared" si="25"/>
        <v>2439708.2583732056</v>
      </c>
    </row>
    <row r="38" spans="1:15">
      <c r="A38" s="381"/>
      <c r="B38" s="26"/>
      <c r="C38" s="26"/>
      <c r="D38" s="26"/>
      <c r="E38" s="26"/>
      <c r="F38" s="26"/>
    </row>
    <row r="39" spans="1:15">
      <c r="A39" s="381"/>
      <c r="B39" s="26"/>
      <c r="C39" s="26"/>
      <c r="D39" s="26"/>
      <c r="E39" s="26"/>
      <c r="F39" s="26"/>
    </row>
    <row r="40" spans="1:15">
      <c r="A40" s="3"/>
      <c r="B40" s="3"/>
      <c r="C40" s="3"/>
      <c r="D40" s="3"/>
      <c r="E40" s="3"/>
      <c r="F40" s="3"/>
    </row>
  </sheetData>
  <mergeCells count="36">
    <mergeCell ref="B1:O1"/>
    <mergeCell ref="A3:A5"/>
    <mergeCell ref="B3:C5"/>
    <mergeCell ref="D3:N3"/>
    <mergeCell ref="O3:O5"/>
    <mergeCell ref="D4:G5"/>
    <mergeCell ref="H4:M4"/>
    <mergeCell ref="N4:N5"/>
    <mergeCell ref="H5:M5"/>
    <mergeCell ref="O18:O19"/>
    <mergeCell ref="E24:E25"/>
    <mergeCell ref="D26:G26"/>
    <mergeCell ref="D34:G34"/>
    <mergeCell ref="B35:C35"/>
    <mergeCell ref="D35:F35"/>
    <mergeCell ref="D27:G27"/>
    <mergeCell ref="B6:C34"/>
    <mergeCell ref="D6:D15"/>
    <mergeCell ref="E6:F7"/>
    <mergeCell ref="G6:G7"/>
    <mergeCell ref="E8:G8"/>
    <mergeCell ref="E9:E13"/>
    <mergeCell ref="E14:F14"/>
    <mergeCell ref="E15:F15"/>
    <mergeCell ref="D16:G16"/>
    <mergeCell ref="A37:A39"/>
    <mergeCell ref="D28:G28"/>
    <mergeCell ref="D29:D33"/>
    <mergeCell ref="E29:G29"/>
    <mergeCell ref="E30:F30"/>
    <mergeCell ref="E31:F31"/>
    <mergeCell ref="E32:F32"/>
    <mergeCell ref="E33:F33"/>
    <mergeCell ref="A6:A35"/>
    <mergeCell ref="D17:D25"/>
    <mergeCell ref="E17:E23"/>
  </mergeCells>
  <phoneticPr fontId="18" type="noConversion"/>
  <printOptions horizontalCentered="1"/>
  <pageMargins left="0.19685039370078741" right="0.19685039370078741" top="0.35433070866141736" bottom="0.23622047244094491" header="0.31496062992125984" footer="0.19685039370078741"/>
  <pageSetup paperSize="9" scale="67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40"/>
  <sheetViews>
    <sheetView view="pageBreakPreview" zoomScaleNormal="100" zoomScaleSheetLayoutView="100" workbookViewId="0">
      <selection activeCell="B10" sqref="B10:J10"/>
    </sheetView>
  </sheetViews>
  <sheetFormatPr defaultColWidth="9" defaultRowHeight="16.5"/>
  <cols>
    <col min="1" max="1" width="11" style="9" bestFit="1" customWidth="1"/>
    <col min="2" max="7" width="9.25" style="9" customWidth="1"/>
    <col min="8" max="8" width="9.75" style="9" customWidth="1"/>
    <col min="9" max="9" width="9.625" style="9" customWidth="1"/>
    <col min="10" max="10" width="10" style="9" customWidth="1"/>
    <col min="11" max="11" width="25.625" style="9" hidden="1" customWidth="1"/>
    <col min="12" max="12" width="13.75" style="9" hidden="1" customWidth="1"/>
    <col min="13" max="18" width="0" style="9" hidden="1" customWidth="1"/>
    <col min="19" max="16384" width="9" style="9"/>
  </cols>
  <sheetData>
    <row r="1" spans="1:17" ht="26.25">
      <c r="A1" s="446" t="s">
        <v>387</v>
      </c>
      <c r="B1" s="446"/>
      <c r="C1" s="446"/>
      <c r="D1" s="446"/>
      <c r="E1" s="446"/>
      <c r="F1" s="446"/>
      <c r="G1" s="446"/>
      <c r="H1" s="446"/>
      <c r="I1" s="446"/>
      <c r="J1" s="446"/>
      <c r="L1" s="27" t="s">
        <v>293</v>
      </c>
      <c r="M1" s="9">
        <v>7</v>
      </c>
    </row>
    <row r="2" spans="1:17" ht="6.75" customHeight="1">
      <c r="A2" s="23"/>
      <c r="B2" s="23"/>
      <c r="C2" s="23"/>
      <c r="D2" s="23"/>
      <c r="E2" s="23"/>
      <c r="F2" s="23"/>
      <c r="G2" s="23"/>
      <c r="H2" s="23"/>
      <c r="I2" s="23"/>
      <c r="J2" s="23"/>
      <c r="L2" s="27" t="s">
        <v>294</v>
      </c>
      <c r="M2" s="9">
        <v>8</v>
      </c>
      <c r="O2" s="9">
        <v>6</v>
      </c>
      <c r="P2" s="9">
        <v>18</v>
      </c>
    </row>
    <row r="3" spans="1:17" ht="30" customHeight="1">
      <c r="A3" s="453" t="s">
        <v>274</v>
      </c>
      <c r="B3" s="453"/>
      <c r="C3" s="453"/>
      <c r="D3" s="453"/>
      <c r="E3" s="453"/>
      <c r="F3" s="453"/>
      <c r="G3" s="453"/>
      <c r="H3" s="453"/>
      <c r="I3" s="453"/>
      <c r="J3" s="453"/>
      <c r="O3" s="9">
        <v>7</v>
      </c>
      <c r="P3" s="9">
        <v>19</v>
      </c>
    </row>
    <row r="4" spans="1:17" ht="31.15" customHeight="1">
      <c r="A4" s="454" t="s">
        <v>97</v>
      </c>
      <c r="B4" s="454"/>
      <c r="C4" s="14" t="s">
        <v>98</v>
      </c>
      <c r="D4" s="14" t="s">
        <v>99</v>
      </c>
      <c r="E4" s="17" t="s">
        <v>150</v>
      </c>
      <c r="F4" s="17" t="s">
        <v>151</v>
      </c>
      <c r="G4" s="456" t="s">
        <v>384</v>
      </c>
      <c r="H4" s="456"/>
      <c r="I4" s="455" t="s">
        <v>103</v>
      </c>
      <c r="J4" s="455"/>
      <c r="O4" s="9">
        <v>8</v>
      </c>
      <c r="P4" s="9">
        <v>20</v>
      </c>
      <c r="Q4" s="9">
        <v>9</v>
      </c>
    </row>
    <row r="5" spans="1:17" ht="31.15" customHeight="1">
      <c r="A5" s="454" t="s">
        <v>104</v>
      </c>
      <c r="B5" s="454"/>
      <c r="C5" s="17" t="s">
        <v>112</v>
      </c>
      <c r="D5" s="17" t="s">
        <v>202</v>
      </c>
      <c r="E5" s="17" t="s">
        <v>113</v>
      </c>
      <c r="F5" s="17" t="s">
        <v>113</v>
      </c>
      <c r="G5" s="454"/>
      <c r="H5" s="454"/>
      <c r="I5" s="455"/>
      <c r="J5" s="455"/>
      <c r="K5" s="27" t="s">
        <v>295</v>
      </c>
      <c r="L5" s="27" t="s">
        <v>278</v>
      </c>
      <c r="M5" s="27" t="s">
        <v>279</v>
      </c>
      <c r="O5" s="9">
        <v>9</v>
      </c>
      <c r="P5" s="9">
        <v>21</v>
      </c>
      <c r="Q5" s="9">
        <v>10</v>
      </c>
    </row>
    <row r="6" spans="1:17" ht="31.15" customHeight="1">
      <c r="A6" s="454" t="s">
        <v>105</v>
      </c>
      <c r="B6" s="454"/>
      <c r="C6" s="14">
        <v>8</v>
      </c>
      <c r="D6" s="14">
        <v>8</v>
      </c>
      <c r="E6" s="14">
        <v>0</v>
      </c>
      <c r="F6" s="14">
        <v>0</v>
      </c>
      <c r="G6" s="454">
        <f>SUM(C6:F6)</f>
        <v>16</v>
      </c>
      <c r="H6" s="454"/>
      <c r="I6" s="463">
        <f>ROUNDUP(G6*$C$14/12,2)</f>
        <v>121.67</v>
      </c>
      <c r="J6" s="463"/>
      <c r="K6" s="9">
        <v>9</v>
      </c>
      <c r="L6" s="9">
        <v>1</v>
      </c>
      <c r="M6" s="9">
        <f>K6-L6</f>
        <v>8</v>
      </c>
      <c r="P6" s="9">
        <v>22</v>
      </c>
      <c r="Q6" s="9">
        <v>11</v>
      </c>
    </row>
    <row r="7" spans="1:17" ht="31.15" customHeight="1">
      <c r="A7" s="455" t="s">
        <v>106</v>
      </c>
      <c r="B7" s="455"/>
      <c r="C7" s="11"/>
      <c r="D7" s="11">
        <f>M7</f>
        <v>3</v>
      </c>
      <c r="E7" s="11"/>
      <c r="F7" s="11"/>
      <c r="G7" s="454">
        <f>SUM(C7:F7)</f>
        <v>3</v>
      </c>
      <c r="H7" s="454"/>
      <c r="I7" s="463">
        <f>ROUNDUP(G7*$C$14/12,2)</f>
        <v>22.82</v>
      </c>
      <c r="J7" s="463"/>
      <c r="K7" s="9">
        <v>7</v>
      </c>
      <c r="L7" s="9">
        <v>4</v>
      </c>
      <c r="M7" s="9">
        <f t="shared" ref="M7:M8" si="0">K7-L7</f>
        <v>3</v>
      </c>
      <c r="P7" s="9">
        <v>23</v>
      </c>
      <c r="Q7" s="9">
        <v>12</v>
      </c>
    </row>
    <row r="8" spans="1:17" ht="31.15" customHeight="1">
      <c r="A8" s="455" t="s">
        <v>272</v>
      </c>
      <c r="B8" s="455"/>
      <c r="C8" s="11"/>
      <c r="D8" s="11">
        <f>M8</f>
        <v>3</v>
      </c>
      <c r="E8" s="11"/>
      <c r="F8" s="11"/>
      <c r="G8" s="454">
        <f>SUM(C8:F8)</f>
        <v>3</v>
      </c>
      <c r="H8" s="454"/>
      <c r="I8" s="463">
        <f>ROUNDUP(G8*$C$14/12,2)</f>
        <v>22.82</v>
      </c>
      <c r="J8" s="463"/>
      <c r="K8" s="9">
        <v>8</v>
      </c>
      <c r="L8" s="9">
        <v>5</v>
      </c>
      <c r="M8" s="9">
        <f t="shared" si="0"/>
        <v>3</v>
      </c>
      <c r="O8" s="9">
        <v>8</v>
      </c>
      <c r="P8" s="9">
        <v>24</v>
      </c>
      <c r="Q8" s="9">
        <v>13</v>
      </c>
    </row>
    <row r="9" spans="1:17" ht="31.15" customHeight="1">
      <c r="A9" s="454" t="s">
        <v>107</v>
      </c>
      <c r="B9" s="454"/>
      <c r="C9" s="14">
        <f>SUM(C6:C7)</f>
        <v>8</v>
      </c>
      <c r="D9" s="14">
        <f>SUM(D6:D8)</f>
        <v>14</v>
      </c>
      <c r="E9" s="14">
        <f>SUM(E6:E7)</f>
        <v>0</v>
      </c>
      <c r="F9" s="14">
        <f>SUM(F6:F7)</f>
        <v>0</v>
      </c>
      <c r="G9" s="454">
        <f>SUM(G6:H8)</f>
        <v>22</v>
      </c>
      <c r="H9" s="454"/>
      <c r="I9" s="463">
        <f>SUM(I6:J8)</f>
        <v>167.31</v>
      </c>
      <c r="J9" s="463"/>
      <c r="K9" s="9">
        <f>SUM(K6:K8)</f>
        <v>24</v>
      </c>
      <c r="M9" s="9">
        <f>SUM(M6:M8)</f>
        <v>14</v>
      </c>
      <c r="O9" s="9">
        <f>M8*O8</f>
        <v>24</v>
      </c>
      <c r="P9" s="9">
        <v>1</v>
      </c>
      <c r="Q9" s="9">
        <v>14</v>
      </c>
    </row>
    <row r="10" spans="1:17" ht="25.5" customHeight="1">
      <c r="A10" s="9" t="s">
        <v>104</v>
      </c>
      <c r="B10" s="452" t="s">
        <v>273</v>
      </c>
      <c r="C10" s="448"/>
      <c r="D10" s="448"/>
      <c r="E10" s="448"/>
      <c r="F10" s="448"/>
      <c r="G10" s="448"/>
      <c r="H10" s="448"/>
      <c r="I10" s="448"/>
      <c r="J10" s="448"/>
      <c r="P10" s="9">
        <v>2</v>
      </c>
      <c r="Q10" s="9">
        <v>15</v>
      </c>
    </row>
    <row r="11" spans="1:17" ht="25.5" customHeight="1">
      <c r="B11" s="452" t="s">
        <v>284</v>
      </c>
      <c r="C11" s="448"/>
      <c r="D11" s="448"/>
      <c r="E11" s="448"/>
      <c r="F11" s="448"/>
      <c r="G11" s="448"/>
      <c r="H11" s="448"/>
      <c r="I11" s="448"/>
      <c r="J11" s="448"/>
      <c r="K11" s="27" t="s">
        <v>203</v>
      </c>
      <c r="P11" s="9">
        <v>3</v>
      </c>
      <c r="Q11" s="9">
        <v>16</v>
      </c>
    </row>
    <row r="12" spans="1:17" ht="25.5" customHeight="1">
      <c r="B12" s="452" t="s">
        <v>296</v>
      </c>
      <c r="C12" s="448"/>
      <c r="D12" s="448"/>
      <c r="E12" s="448"/>
      <c r="F12" s="448"/>
      <c r="G12" s="448"/>
      <c r="H12" s="448"/>
      <c r="I12" s="448"/>
      <c r="J12" s="448"/>
      <c r="K12" s="27"/>
      <c r="P12" s="9">
        <v>4</v>
      </c>
      <c r="Q12" s="9">
        <v>17</v>
      </c>
    </row>
    <row r="13" spans="1:17" ht="12" customHeight="1">
      <c r="B13" s="109"/>
      <c r="C13" s="21"/>
      <c r="D13" s="21"/>
      <c r="E13" s="21"/>
      <c r="F13" s="21"/>
      <c r="G13" s="21"/>
      <c r="H13" s="21"/>
      <c r="I13" s="21"/>
      <c r="J13" s="21"/>
      <c r="K13" s="27" t="s">
        <v>204</v>
      </c>
      <c r="P13" s="9">
        <v>5</v>
      </c>
      <c r="Q13" s="9">
        <v>18</v>
      </c>
    </row>
    <row r="14" spans="1:17" ht="25.5" customHeight="1">
      <c r="A14" s="447" t="s">
        <v>152</v>
      </c>
      <c r="B14" s="448"/>
      <c r="C14" s="15">
        <f>365/4</f>
        <v>91.25</v>
      </c>
      <c r="D14" s="108" t="s">
        <v>275</v>
      </c>
      <c r="G14" s="10"/>
      <c r="H14" s="10"/>
      <c r="K14" s="9">
        <v>6</v>
      </c>
      <c r="L14" s="108" t="s">
        <v>277</v>
      </c>
      <c r="P14" s="9">
        <v>6</v>
      </c>
    </row>
    <row r="15" spans="1:17" ht="25.5" customHeight="1">
      <c r="A15" s="108" t="s">
        <v>153</v>
      </c>
      <c r="K15" s="28">
        <f>K14*C14/12</f>
        <v>45.625</v>
      </c>
      <c r="L15" s="27" t="s">
        <v>205</v>
      </c>
      <c r="M15" s="9">
        <f>7*91.25/12</f>
        <v>53.229166666666664</v>
      </c>
    </row>
    <row r="16" spans="1:17" ht="31.15" customHeight="1">
      <c r="A16" s="446" t="s">
        <v>388</v>
      </c>
      <c r="B16" s="446"/>
      <c r="C16" s="446"/>
      <c r="D16" s="446"/>
      <c r="E16" s="446"/>
      <c r="F16" s="446"/>
      <c r="G16" s="446"/>
      <c r="H16" s="446"/>
      <c r="I16" s="446"/>
      <c r="J16" s="446"/>
    </row>
    <row r="17" spans="1:10" ht="8.25" customHeight="1">
      <c r="C17" s="9" t="s">
        <v>108</v>
      </c>
    </row>
    <row r="18" spans="1:10" ht="31.15" customHeight="1">
      <c r="A18" s="14" t="s">
        <v>97</v>
      </c>
      <c r="B18" s="14" t="s">
        <v>98</v>
      </c>
      <c r="C18" s="14" t="s">
        <v>99</v>
      </c>
      <c r="D18" s="14" t="s">
        <v>100</v>
      </c>
      <c r="E18" s="14" t="s">
        <v>101</v>
      </c>
      <c r="F18" s="14" t="s">
        <v>102</v>
      </c>
      <c r="G18" s="14" t="s">
        <v>109</v>
      </c>
      <c r="H18" s="13" t="s">
        <v>110</v>
      </c>
      <c r="I18" s="459" t="s">
        <v>111</v>
      </c>
      <c r="J18" s="460"/>
    </row>
    <row r="19" spans="1:10" ht="31.15" customHeight="1">
      <c r="A19" s="14" t="s">
        <v>104</v>
      </c>
      <c r="B19" s="14" t="s">
        <v>112</v>
      </c>
      <c r="C19" s="14" t="s">
        <v>112</v>
      </c>
      <c r="D19" s="14" t="s">
        <v>112</v>
      </c>
      <c r="E19" s="14" t="s">
        <v>112</v>
      </c>
      <c r="F19" s="14" t="s">
        <v>112</v>
      </c>
      <c r="G19" s="14" t="s">
        <v>113</v>
      </c>
      <c r="H19" s="14" t="s">
        <v>113</v>
      </c>
      <c r="I19" s="461"/>
      <c r="J19" s="462"/>
    </row>
    <row r="20" spans="1:10" ht="31.15" customHeight="1">
      <c r="A20" s="14" t="s">
        <v>114</v>
      </c>
      <c r="B20" s="14">
        <v>8</v>
      </c>
      <c r="C20" s="14">
        <v>8</v>
      </c>
      <c r="D20" s="14">
        <v>8</v>
      </c>
      <c r="E20" s="14">
        <v>8</v>
      </c>
      <c r="F20" s="14">
        <v>8</v>
      </c>
      <c r="G20" s="14">
        <v>0</v>
      </c>
      <c r="H20" s="14">
        <v>8</v>
      </c>
      <c r="I20" s="457">
        <f>ROUNDUP(H20*$C$24/12,2)*6</f>
        <v>208.61999999999998</v>
      </c>
      <c r="J20" s="458"/>
    </row>
    <row r="21" spans="1:10" ht="31.15" customHeight="1">
      <c r="A21" s="14" t="s">
        <v>115</v>
      </c>
      <c r="B21" s="14"/>
      <c r="C21" s="14"/>
      <c r="D21" s="14"/>
      <c r="E21" s="14"/>
      <c r="F21" s="14"/>
      <c r="G21" s="14" t="s">
        <v>116</v>
      </c>
      <c r="H21" s="14" t="s">
        <v>117</v>
      </c>
      <c r="I21" s="449"/>
      <c r="J21" s="450"/>
    </row>
    <row r="22" spans="1:10" ht="25.5" customHeight="1">
      <c r="A22" s="9" t="s">
        <v>104</v>
      </c>
      <c r="B22" s="451" t="s">
        <v>118</v>
      </c>
      <c r="C22" s="448"/>
      <c r="D22" s="448"/>
      <c r="E22" s="448"/>
      <c r="F22" s="448"/>
      <c r="G22" s="448"/>
      <c r="H22" s="448"/>
      <c r="I22" s="448"/>
      <c r="J22" s="448"/>
    </row>
    <row r="23" spans="1:10" ht="25.5" customHeight="1">
      <c r="B23" s="452" t="s">
        <v>141</v>
      </c>
      <c r="C23" s="448"/>
      <c r="D23" s="448"/>
      <c r="E23" s="448"/>
      <c r="F23" s="448"/>
      <c r="G23" s="448"/>
      <c r="H23" s="448"/>
      <c r="I23" s="448"/>
      <c r="J23" s="448"/>
    </row>
    <row r="24" spans="1:10" ht="25.5" customHeight="1">
      <c r="A24" s="447" t="s">
        <v>119</v>
      </c>
      <c r="B24" s="448"/>
      <c r="C24" s="15">
        <f>ROUNDUP(365/7,2)</f>
        <v>52.15</v>
      </c>
      <c r="D24" s="108" t="s">
        <v>275</v>
      </c>
      <c r="G24" s="10"/>
      <c r="H24" s="10"/>
    </row>
    <row r="25" spans="1:10" ht="25.5" customHeight="1">
      <c r="A25" s="108" t="s">
        <v>276</v>
      </c>
    </row>
    <row r="26" spans="1:10" ht="6.75" customHeight="1"/>
    <row r="27" spans="1:10" s="102" customFormat="1" ht="33.75" customHeight="1">
      <c r="A27" s="446" t="s">
        <v>389</v>
      </c>
      <c r="B27" s="446"/>
      <c r="C27" s="446"/>
      <c r="D27" s="446"/>
      <c r="E27" s="446"/>
      <c r="F27" s="446"/>
      <c r="G27" s="446"/>
      <c r="H27" s="446"/>
      <c r="I27" s="446"/>
      <c r="J27" s="446"/>
    </row>
    <row r="28" spans="1:10" s="102" customFormat="1" ht="12.75" customHeight="1">
      <c r="A28" s="448" t="s">
        <v>375</v>
      </c>
      <c r="B28" s="448"/>
      <c r="C28" s="448"/>
      <c r="D28" s="448"/>
      <c r="E28" s="448"/>
      <c r="F28" s="448"/>
      <c r="G28" s="448"/>
      <c r="H28" s="448"/>
      <c r="I28" s="448"/>
    </row>
    <row r="29" spans="1:10" s="102" customFormat="1" ht="12.75" customHeight="1">
      <c r="A29" s="448"/>
      <c r="B29" s="448"/>
      <c r="C29" s="448"/>
      <c r="D29" s="448"/>
      <c r="E29" s="448"/>
      <c r="F29" s="448"/>
      <c r="G29" s="448"/>
      <c r="H29" s="448"/>
      <c r="I29" s="448"/>
    </row>
    <row r="30" spans="1:10" s="102" customFormat="1" ht="25.5" customHeight="1">
      <c r="A30" s="444" t="s">
        <v>415</v>
      </c>
      <c r="B30" s="445"/>
      <c r="C30" s="445"/>
      <c r="D30" s="445"/>
      <c r="E30" s="445"/>
      <c r="F30" s="445"/>
      <c r="G30" s="445"/>
      <c r="H30" s="445"/>
      <c r="I30" s="445"/>
    </row>
    <row r="31" spans="1:10" s="102" customFormat="1" ht="25.5" customHeight="1">
      <c r="A31" s="444" t="s">
        <v>416</v>
      </c>
      <c r="B31" s="445"/>
      <c r="C31" s="445"/>
      <c r="D31" s="445"/>
      <c r="E31" s="445"/>
      <c r="F31" s="445"/>
      <c r="G31" s="445"/>
      <c r="H31" s="445"/>
      <c r="I31" s="445"/>
    </row>
    <row r="32" spans="1:10" s="102" customFormat="1" ht="25.5" customHeight="1">
      <c r="A32" s="444" t="s">
        <v>417</v>
      </c>
      <c r="B32" s="445"/>
      <c r="C32" s="445"/>
      <c r="D32" s="445"/>
      <c r="E32" s="445"/>
      <c r="F32" s="445"/>
      <c r="G32" s="445"/>
      <c r="H32" s="445"/>
      <c r="I32" s="445"/>
    </row>
    <row r="33" spans="1:9" s="102" customFormat="1" ht="25.5" customHeight="1">
      <c r="A33" s="444" t="s">
        <v>418</v>
      </c>
      <c r="B33" s="445"/>
      <c r="C33" s="445"/>
      <c r="D33" s="445"/>
      <c r="E33" s="445"/>
      <c r="F33" s="445"/>
      <c r="G33" s="445"/>
      <c r="H33" s="445"/>
      <c r="I33" s="445"/>
    </row>
    <row r="34" spans="1:9" s="102" customFormat="1" ht="25.5" customHeight="1">
      <c r="A34" s="444" t="s">
        <v>419</v>
      </c>
      <c r="B34" s="445"/>
      <c r="C34" s="445"/>
      <c r="D34" s="445"/>
      <c r="E34" s="445"/>
      <c r="F34" s="445"/>
      <c r="G34" s="445"/>
      <c r="H34" s="445"/>
      <c r="I34" s="445"/>
    </row>
    <row r="35" spans="1:9" s="102" customFormat="1" ht="25.5" customHeight="1">
      <c r="A35" s="444" t="s">
        <v>420</v>
      </c>
      <c r="B35" s="445"/>
      <c r="C35" s="445"/>
      <c r="D35" s="445"/>
      <c r="E35" s="445"/>
      <c r="F35" s="445"/>
      <c r="G35" s="445"/>
      <c r="H35" s="445"/>
      <c r="I35" s="445"/>
    </row>
    <row r="36" spans="1:9" s="102" customFormat="1" ht="25.5" customHeight="1">
      <c r="A36" s="444" t="s">
        <v>421</v>
      </c>
      <c r="B36" s="445"/>
      <c r="C36" s="445"/>
      <c r="D36" s="445"/>
      <c r="E36" s="445"/>
      <c r="F36" s="445"/>
      <c r="G36" s="445"/>
      <c r="H36" s="445"/>
      <c r="I36" s="445"/>
    </row>
    <row r="37" spans="1:9" s="102" customFormat="1" ht="25.5" customHeight="1">
      <c r="A37" s="444" t="s">
        <v>422</v>
      </c>
      <c r="B37" s="445"/>
      <c r="C37" s="445"/>
      <c r="D37" s="445"/>
      <c r="E37" s="445"/>
      <c r="F37" s="445"/>
      <c r="G37" s="445"/>
      <c r="H37" s="445"/>
      <c r="I37" s="445"/>
    </row>
    <row r="38" spans="1:9" s="102" customFormat="1" ht="25.5" customHeight="1">
      <c r="A38" s="444" t="s">
        <v>423</v>
      </c>
      <c r="B38" s="445"/>
      <c r="C38" s="445"/>
      <c r="D38" s="445"/>
      <c r="E38" s="445"/>
      <c r="F38" s="445"/>
      <c r="G38" s="445"/>
      <c r="H38" s="445"/>
      <c r="I38" s="445"/>
    </row>
    <row r="39" spans="1:9" s="102" customFormat="1" ht="12.75" customHeight="1">
      <c r="A39" s="255"/>
      <c r="B39" s="255"/>
      <c r="C39" s="255"/>
      <c r="D39" s="255"/>
      <c r="E39" s="255"/>
      <c r="F39" s="255"/>
      <c r="G39" s="255"/>
      <c r="H39" s="255"/>
      <c r="I39" s="255"/>
    </row>
    <row r="40" spans="1:9" s="102" customFormat="1" ht="12.75" customHeight="1">
      <c r="A40" s="255"/>
      <c r="B40" s="255"/>
      <c r="C40" s="255"/>
      <c r="D40" s="255"/>
      <c r="E40" s="255"/>
      <c r="F40" s="255"/>
      <c r="G40" s="255"/>
      <c r="H40" s="255"/>
      <c r="I40" s="255"/>
    </row>
  </sheetData>
  <mergeCells count="42">
    <mergeCell ref="A28:I29"/>
    <mergeCell ref="I5:J5"/>
    <mergeCell ref="A1:J1"/>
    <mergeCell ref="G8:H8"/>
    <mergeCell ref="B12:J12"/>
    <mergeCell ref="I20:J20"/>
    <mergeCell ref="B11:J11"/>
    <mergeCell ref="G9:H9"/>
    <mergeCell ref="B10:J10"/>
    <mergeCell ref="A14:B14"/>
    <mergeCell ref="A16:J16"/>
    <mergeCell ref="I18:J19"/>
    <mergeCell ref="I6:J6"/>
    <mergeCell ref="I7:J7"/>
    <mergeCell ref="I8:J8"/>
    <mergeCell ref="I9:J9"/>
    <mergeCell ref="A30:I30"/>
    <mergeCell ref="A31:I31"/>
    <mergeCell ref="A32:I32"/>
    <mergeCell ref="A33:I33"/>
    <mergeCell ref="A3:J3"/>
    <mergeCell ref="A4:B4"/>
    <mergeCell ref="A5:B5"/>
    <mergeCell ref="A6:B6"/>
    <mergeCell ref="A7:B7"/>
    <mergeCell ref="A8:B8"/>
    <mergeCell ref="A9:B9"/>
    <mergeCell ref="G4:H4"/>
    <mergeCell ref="G5:H5"/>
    <mergeCell ref="I4:J4"/>
    <mergeCell ref="G6:H6"/>
    <mergeCell ref="G7:H7"/>
    <mergeCell ref="A27:J27"/>
    <mergeCell ref="A24:B24"/>
    <mergeCell ref="I21:J21"/>
    <mergeCell ref="B22:J22"/>
    <mergeCell ref="B23:J23"/>
    <mergeCell ref="A34:I34"/>
    <mergeCell ref="A35:I35"/>
    <mergeCell ref="A36:I36"/>
    <mergeCell ref="A37:I37"/>
    <mergeCell ref="A38:I38"/>
  </mergeCells>
  <phoneticPr fontId="1" type="noConversion"/>
  <printOptions horizontalCentered="1"/>
  <pageMargins left="0.70866141732283472" right="0.70866141732283472" top="0.76" bottom="0.35433070866141736" header="0.31496062992125984" footer="0.31496062992125984"/>
  <pageSetup paperSize="9" scale="7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view="pageBreakPreview" zoomScale="85" zoomScaleNormal="100" zoomScaleSheetLayoutView="85" workbookViewId="0">
      <selection activeCell="N45" sqref="N45"/>
    </sheetView>
  </sheetViews>
  <sheetFormatPr defaultRowHeight="16.5"/>
  <cols>
    <col min="1" max="1" width="7.625" customWidth="1"/>
    <col min="10" max="10" width="9" customWidth="1"/>
  </cols>
  <sheetData>
    <row r="1" spans="1:12" ht="24.75" customHeight="1">
      <c r="A1" s="469" t="s">
        <v>158</v>
      </c>
      <c r="B1" s="469"/>
      <c r="C1" s="469"/>
      <c r="D1" s="469"/>
      <c r="E1" s="469"/>
      <c r="F1" s="469"/>
      <c r="G1" s="469"/>
      <c r="H1" s="469"/>
      <c r="I1" s="469"/>
      <c r="J1" s="469"/>
    </row>
    <row r="2" spans="1:12" ht="32.450000000000003" customHeight="1">
      <c r="A2" s="470"/>
      <c r="B2" s="470"/>
      <c r="C2" s="470"/>
      <c r="D2" s="470"/>
      <c r="E2" s="470"/>
      <c r="F2" s="470"/>
      <c r="G2" s="470"/>
      <c r="H2" s="470"/>
      <c r="I2" s="470"/>
      <c r="J2" s="470"/>
    </row>
    <row r="3" spans="1:12" ht="20.25" customHeight="1">
      <c r="A3" s="471" t="s">
        <v>87</v>
      </c>
      <c r="B3" s="471"/>
      <c r="C3" s="471" t="s">
        <v>78</v>
      </c>
      <c r="D3" s="476" t="s">
        <v>297</v>
      </c>
      <c r="E3" s="472" t="s">
        <v>155</v>
      </c>
      <c r="F3" s="472"/>
      <c r="G3" s="472"/>
      <c r="H3" s="472"/>
      <c r="I3" s="473"/>
      <c r="J3" s="471" t="s">
        <v>143</v>
      </c>
    </row>
    <row r="4" spans="1:12" ht="12.75" customHeight="1">
      <c r="A4" s="471" t="s">
        <v>79</v>
      </c>
      <c r="B4" s="471" t="s">
        <v>80</v>
      </c>
      <c r="C4" s="471"/>
      <c r="D4" s="477"/>
      <c r="E4" s="474"/>
      <c r="F4" s="474"/>
      <c r="G4" s="474"/>
      <c r="H4" s="474"/>
      <c r="I4" s="475"/>
      <c r="J4" s="471"/>
    </row>
    <row r="5" spans="1:12" ht="16.5" customHeight="1">
      <c r="A5" s="471"/>
      <c r="B5" s="471"/>
      <c r="C5" s="471"/>
      <c r="D5" s="478"/>
      <c r="E5" s="81" t="s">
        <v>91</v>
      </c>
      <c r="F5" s="82" t="s">
        <v>92</v>
      </c>
      <c r="G5" s="82" t="s">
        <v>93</v>
      </c>
      <c r="H5" s="82" t="s">
        <v>154</v>
      </c>
      <c r="I5" s="82" t="s">
        <v>212</v>
      </c>
      <c r="J5" s="471"/>
    </row>
    <row r="6" spans="1:12">
      <c r="A6" s="83">
        <v>1</v>
      </c>
      <c r="B6" s="83" t="s">
        <v>81</v>
      </c>
      <c r="C6" s="83" t="s">
        <v>83</v>
      </c>
      <c r="D6" s="84" t="s">
        <v>82</v>
      </c>
      <c r="E6" s="84" t="s">
        <v>86</v>
      </c>
      <c r="F6" s="85" t="s">
        <v>156</v>
      </c>
      <c r="G6" s="85" t="s">
        <v>156</v>
      </c>
      <c r="H6" s="86" t="s">
        <v>210</v>
      </c>
      <c r="I6" s="84" t="s">
        <v>86</v>
      </c>
      <c r="J6" s="83">
        <v>4</v>
      </c>
    </row>
    <row r="7" spans="1:12">
      <c r="A7" s="83">
        <v>2</v>
      </c>
      <c r="B7" s="83" t="s">
        <v>84</v>
      </c>
      <c r="C7" s="83" t="s">
        <v>83</v>
      </c>
      <c r="D7" s="84" t="s">
        <v>82</v>
      </c>
      <c r="E7" s="86" t="s">
        <v>210</v>
      </c>
      <c r="F7" s="84" t="s">
        <v>86</v>
      </c>
      <c r="G7" s="85" t="s">
        <v>157</v>
      </c>
      <c r="H7" s="85" t="s">
        <v>156</v>
      </c>
      <c r="I7" s="86" t="s">
        <v>210</v>
      </c>
      <c r="J7" s="83">
        <v>4</v>
      </c>
    </row>
    <row r="8" spans="1:12">
      <c r="A8" s="83">
        <v>3</v>
      </c>
      <c r="B8" s="83" t="s">
        <v>72</v>
      </c>
      <c r="C8" s="84" t="s">
        <v>82</v>
      </c>
      <c r="D8" s="83" t="s">
        <v>83</v>
      </c>
      <c r="E8" s="85" t="s">
        <v>156</v>
      </c>
      <c r="F8" s="86" t="s">
        <v>210</v>
      </c>
      <c r="G8" s="84" t="s">
        <v>86</v>
      </c>
      <c r="H8" s="85" t="s">
        <v>156</v>
      </c>
      <c r="I8" s="85" t="s">
        <v>156</v>
      </c>
      <c r="J8" s="83">
        <v>3</v>
      </c>
    </row>
    <row r="9" spans="1:12">
      <c r="A9" s="83">
        <v>4</v>
      </c>
      <c r="B9" s="83" t="s">
        <v>73</v>
      </c>
      <c r="C9" s="84" t="s">
        <v>82</v>
      </c>
      <c r="D9" s="83" t="s">
        <v>83</v>
      </c>
      <c r="E9" s="85" t="s">
        <v>156</v>
      </c>
      <c r="F9" s="85" t="s">
        <v>156</v>
      </c>
      <c r="G9" s="86" t="s">
        <v>210</v>
      </c>
      <c r="H9" s="84" t="s">
        <v>86</v>
      </c>
      <c r="I9" s="85" t="s">
        <v>156</v>
      </c>
      <c r="J9" s="83">
        <v>3</v>
      </c>
    </row>
    <row r="10" spans="1:12">
      <c r="A10" s="83">
        <v>5</v>
      </c>
      <c r="B10" s="83" t="s">
        <v>74</v>
      </c>
      <c r="C10" s="84" t="s">
        <v>82</v>
      </c>
      <c r="D10" s="84" t="s">
        <v>82</v>
      </c>
      <c r="E10" s="84" t="s">
        <v>86</v>
      </c>
      <c r="F10" s="85" t="s">
        <v>156</v>
      </c>
      <c r="G10" s="85" t="s">
        <v>156</v>
      </c>
      <c r="H10" s="86" t="s">
        <v>210</v>
      </c>
      <c r="I10" s="84" t="s">
        <v>86</v>
      </c>
      <c r="J10" s="83">
        <v>5</v>
      </c>
    </row>
    <row r="11" spans="1:12" s="19" customFormat="1">
      <c r="A11" s="83">
        <v>6</v>
      </c>
      <c r="B11" s="83" t="s">
        <v>75</v>
      </c>
      <c r="C11" s="84" t="s">
        <v>142</v>
      </c>
      <c r="D11" s="84" t="s">
        <v>82</v>
      </c>
      <c r="E11" s="86" t="s">
        <v>210</v>
      </c>
      <c r="F11" s="84" t="s">
        <v>86</v>
      </c>
      <c r="G11" s="85" t="s">
        <v>156</v>
      </c>
      <c r="H11" s="85" t="s">
        <v>156</v>
      </c>
      <c r="I11" s="86" t="s">
        <v>210</v>
      </c>
      <c r="J11" s="83">
        <v>5</v>
      </c>
      <c r="L11" s="80"/>
    </row>
    <row r="12" spans="1:12" s="19" customFormat="1">
      <c r="A12" s="83">
        <v>7</v>
      </c>
      <c r="B12" s="83" t="s">
        <v>76</v>
      </c>
      <c r="C12" s="84" t="s">
        <v>142</v>
      </c>
      <c r="D12" s="84" t="s">
        <v>82</v>
      </c>
      <c r="E12" s="85" t="s">
        <v>156</v>
      </c>
      <c r="F12" s="86" t="s">
        <v>210</v>
      </c>
      <c r="G12" s="84" t="s">
        <v>86</v>
      </c>
      <c r="H12" s="85" t="s">
        <v>156</v>
      </c>
      <c r="I12" s="85" t="s">
        <v>156</v>
      </c>
      <c r="J12" s="83">
        <v>4</v>
      </c>
    </row>
    <row r="13" spans="1:12">
      <c r="A13" s="83">
        <v>8</v>
      </c>
      <c r="B13" s="83" t="s">
        <v>81</v>
      </c>
      <c r="C13" s="83" t="s">
        <v>83</v>
      </c>
      <c r="D13" s="84" t="s">
        <v>82</v>
      </c>
      <c r="E13" s="85" t="s">
        <v>156</v>
      </c>
      <c r="F13" s="85" t="s">
        <v>156</v>
      </c>
      <c r="G13" s="86" t="s">
        <v>210</v>
      </c>
      <c r="H13" s="84" t="s">
        <v>86</v>
      </c>
      <c r="I13" s="85" t="s">
        <v>156</v>
      </c>
      <c r="J13" s="83">
        <v>4</v>
      </c>
    </row>
    <row r="14" spans="1:12">
      <c r="A14" s="83">
        <v>9</v>
      </c>
      <c r="B14" s="83" t="s">
        <v>84</v>
      </c>
      <c r="C14" s="83" t="s">
        <v>83</v>
      </c>
      <c r="D14" s="84" t="s">
        <v>82</v>
      </c>
      <c r="E14" s="84" t="s">
        <v>86</v>
      </c>
      <c r="F14" s="85" t="s">
        <v>156</v>
      </c>
      <c r="G14" s="85" t="s">
        <v>156</v>
      </c>
      <c r="H14" s="86" t="s">
        <v>210</v>
      </c>
      <c r="I14" s="84" t="s">
        <v>86</v>
      </c>
      <c r="J14" s="83">
        <v>4</v>
      </c>
    </row>
    <row r="15" spans="1:12">
      <c r="A15" s="83">
        <v>10</v>
      </c>
      <c r="B15" s="83" t="s">
        <v>72</v>
      </c>
      <c r="C15" s="84" t="s">
        <v>82</v>
      </c>
      <c r="D15" s="83" t="s">
        <v>83</v>
      </c>
      <c r="E15" s="86" t="s">
        <v>210</v>
      </c>
      <c r="F15" s="84" t="s">
        <v>86</v>
      </c>
      <c r="G15" s="85" t="s">
        <v>156</v>
      </c>
      <c r="H15" s="85" t="s">
        <v>156</v>
      </c>
      <c r="I15" s="86" t="s">
        <v>210</v>
      </c>
      <c r="J15" s="83">
        <v>3</v>
      </c>
    </row>
    <row r="16" spans="1:12">
      <c r="A16" s="83">
        <v>11</v>
      </c>
      <c r="B16" s="83" t="s">
        <v>73</v>
      </c>
      <c r="C16" s="84" t="s">
        <v>82</v>
      </c>
      <c r="D16" s="83" t="s">
        <v>83</v>
      </c>
      <c r="E16" s="85" t="s">
        <v>156</v>
      </c>
      <c r="F16" s="86" t="s">
        <v>210</v>
      </c>
      <c r="G16" s="84" t="s">
        <v>86</v>
      </c>
      <c r="H16" s="85" t="s">
        <v>156</v>
      </c>
      <c r="I16" s="85" t="s">
        <v>156</v>
      </c>
      <c r="J16" s="83">
        <v>3</v>
      </c>
    </row>
    <row r="17" spans="1:10">
      <c r="A17" s="83">
        <v>12</v>
      </c>
      <c r="B17" s="83" t="s">
        <v>74</v>
      </c>
      <c r="C17" s="84" t="s">
        <v>82</v>
      </c>
      <c r="D17" s="84" t="s">
        <v>82</v>
      </c>
      <c r="E17" s="85" t="s">
        <v>156</v>
      </c>
      <c r="F17" s="85" t="s">
        <v>156</v>
      </c>
      <c r="G17" s="86" t="s">
        <v>210</v>
      </c>
      <c r="H17" s="84" t="s">
        <v>86</v>
      </c>
      <c r="I17" s="85" t="s">
        <v>156</v>
      </c>
      <c r="J17" s="83">
        <v>5</v>
      </c>
    </row>
    <row r="18" spans="1:10" s="19" customFormat="1">
      <c r="A18" s="83">
        <v>13</v>
      </c>
      <c r="B18" s="83" t="s">
        <v>75</v>
      </c>
      <c r="C18" s="84" t="s">
        <v>82</v>
      </c>
      <c r="D18" s="84" t="s">
        <v>82</v>
      </c>
      <c r="E18" s="84" t="s">
        <v>86</v>
      </c>
      <c r="F18" s="85" t="s">
        <v>156</v>
      </c>
      <c r="G18" s="85" t="s">
        <v>156</v>
      </c>
      <c r="H18" s="86" t="s">
        <v>210</v>
      </c>
      <c r="I18" s="84" t="s">
        <v>86</v>
      </c>
      <c r="J18" s="83">
        <v>5</v>
      </c>
    </row>
    <row r="19" spans="1:10" s="19" customFormat="1">
      <c r="A19" s="83">
        <v>14</v>
      </c>
      <c r="B19" s="83" t="s">
        <v>76</v>
      </c>
      <c r="C19" s="84" t="s">
        <v>82</v>
      </c>
      <c r="D19" s="84" t="s">
        <v>82</v>
      </c>
      <c r="E19" s="86" t="s">
        <v>210</v>
      </c>
      <c r="F19" s="84" t="s">
        <v>86</v>
      </c>
      <c r="G19" s="85" t="s">
        <v>156</v>
      </c>
      <c r="H19" s="85" t="s">
        <v>156</v>
      </c>
      <c r="I19" s="86" t="s">
        <v>210</v>
      </c>
      <c r="J19" s="83">
        <v>4</v>
      </c>
    </row>
    <row r="20" spans="1:10">
      <c r="A20" s="83">
        <v>15</v>
      </c>
      <c r="B20" s="83" t="s">
        <v>81</v>
      </c>
      <c r="C20" s="83" t="s">
        <v>83</v>
      </c>
      <c r="D20" s="84" t="s">
        <v>82</v>
      </c>
      <c r="E20" s="85" t="s">
        <v>156</v>
      </c>
      <c r="F20" s="86" t="s">
        <v>210</v>
      </c>
      <c r="G20" s="84" t="s">
        <v>86</v>
      </c>
      <c r="H20" s="85" t="s">
        <v>156</v>
      </c>
      <c r="I20" s="85" t="s">
        <v>156</v>
      </c>
      <c r="J20" s="83">
        <v>4</v>
      </c>
    </row>
    <row r="21" spans="1:10">
      <c r="A21" s="83">
        <v>16</v>
      </c>
      <c r="B21" s="83" t="s">
        <v>84</v>
      </c>
      <c r="C21" s="83" t="s">
        <v>83</v>
      </c>
      <c r="D21" s="84" t="s">
        <v>82</v>
      </c>
      <c r="E21" s="85" t="s">
        <v>156</v>
      </c>
      <c r="F21" s="85" t="s">
        <v>156</v>
      </c>
      <c r="G21" s="86" t="s">
        <v>210</v>
      </c>
      <c r="H21" s="84" t="s">
        <v>86</v>
      </c>
      <c r="I21" s="85" t="s">
        <v>156</v>
      </c>
      <c r="J21" s="83">
        <v>4</v>
      </c>
    </row>
    <row r="22" spans="1:10">
      <c r="A22" s="83">
        <v>17</v>
      </c>
      <c r="B22" s="83" t="s">
        <v>72</v>
      </c>
      <c r="C22" s="84" t="s">
        <v>82</v>
      </c>
      <c r="D22" s="83" t="s">
        <v>83</v>
      </c>
      <c r="E22" s="84" t="s">
        <v>86</v>
      </c>
      <c r="F22" s="85" t="s">
        <v>156</v>
      </c>
      <c r="G22" s="85" t="s">
        <v>156</v>
      </c>
      <c r="H22" s="86" t="s">
        <v>210</v>
      </c>
      <c r="I22" s="84" t="s">
        <v>86</v>
      </c>
      <c r="J22" s="83">
        <v>3</v>
      </c>
    </row>
    <row r="23" spans="1:10">
      <c r="A23" s="83">
        <v>18</v>
      </c>
      <c r="B23" s="83" t="s">
        <v>73</v>
      </c>
      <c r="C23" s="84" t="s">
        <v>82</v>
      </c>
      <c r="D23" s="83" t="s">
        <v>83</v>
      </c>
      <c r="E23" s="86" t="s">
        <v>210</v>
      </c>
      <c r="F23" s="84" t="s">
        <v>86</v>
      </c>
      <c r="G23" s="85" t="s">
        <v>156</v>
      </c>
      <c r="H23" s="85" t="s">
        <v>156</v>
      </c>
      <c r="I23" s="86" t="s">
        <v>210</v>
      </c>
      <c r="J23" s="83">
        <v>3</v>
      </c>
    </row>
    <row r="24" spans="1:10">
      <c r="A24" s="83">
        <v>19</v>
      </c>
      <c r="B24" s="83" t="s">
        <v>74</v>
      </c>
      <c r="C24" s="84" t="s">
        <v>82</v>
      </c>
      <c r="D24" s="84" t="s">
        <v>82</v>
      </c>
      <c r="E24" s="85" t="s">
        <v>156</v>
      </c>
      <c r="F24" s="86" t="s">
        <v>210</v>
      </c>
      <c r="G24" s="84" t="s">
        <v>86</v>
      </c>
      <c r="H24" s="85" t="s">
        <v>156</v>
      </c>
      <c r="I24" s="85" t="s">
        <v>156</v>
      </c>
      <c r="J24" s="83">
        <v>5</v>
      </c>
    </row>
    <row r="25" spans="1:10" s="19" customFormat="1">
      <c r="A25" s="83">
        <v>20</v>
      </c>
      <c r="B25" s="83" t="s">
        <v>75</v>
      </c>
      <c r="C25" s="84" t="s">
        <v>82</v>
      </c>
      <c r="D25" s="84" t="s">
        <v>82</v>
      </c>
      <c r="E25" s="85" t="s">
        <v>156</v>
      </c>
      <c r="F25" s="85" t="s">
        <v>156</v>
      </c>
      <c r="G25" s="86" t="s">
        <v>210</v>
      </c>
      <c r="H25" s="84" t="s">
        <v>86</v>
      </c>
      <c r="I25" s="85" t="s">
        <v>156</v>
      </c>
      <c r="J25" s="83">
        <v>5</v>
      </c>
    </row>
    <row r="26" spans="1:10" s="19" customFormat="1">
      <c r="A26" s="83">
        <v>21</v>
      </c>
      <c r="B26" s="83" t="s">
        <v>76</v>
      </c>
      <c r="C26" s="84" t="s">
        <v>82</v>
      </c>
      <c r="D26" s="84" t="s">
        <v>82</v>
      </c>
      <c r="E26" s="84" t="s">
        <v>86</v>
      </c>
      <c r="F26" s="85" t="s">
        <v>156</v>
      </c>
      <c r="G26" s="85" t="s">
        <v>156</v>
      </c>
      <c r="H26" s="86" t="s">
        <v>210</v>
      </c>
      <c r="I26" s="84" t="s">
        <v>86</v>
      </c>
      <c r="J26" s="83">
        <v>4</v>
      </c>
    </row>
    <row r="27" spans="1:10">
      <c r="A27" s="83">
        <v>22</v>
      </c>
      <c r="B27" s="83" t="s">
        <v>81</v>
      </c>
      <c r="C27" s="83" t="s">
        <v>83</v>
      </c>
      <c r="D27" s="84" t="s">
        <v>82</v>
      </c>
      <c r="E27" s="86" t="s">
        <v>210</v>
      </c>
      <c r="F27" s="84" t="s">
        <v>86</v>
      </c>
      <c r="G27" s="85" t="s">
        <v>156</v>
      </c>
      <c r="H27" s="85" t="s">
        <v>156</v>
      </c>
      <c r="I27" s="86" t="s">
        <v>210</v>
      </c>
      <c r="J27" s="83">
        <v>4</v>
      </c>
    </row>
    <row r="28" spans="1:10">
      <c r="A28" s="83">
        <v>23</v>
      </c>
      <c r="B28" s="83" t="s">
        <v>84</v>
      </c>
      <c r="C28" s="83" t="s">
        <v>83</v>
      </c>
      <c r="D28" s="84" t="s">
        <v>82</v>
      </c>
      <c r="E28" s="85" t="s">
        <v>156</v>
      </c>
      <c r="F28" s="86" t="s">
        <v>210</v>
      </c>
      <c r="G28" s="84" t="s">
        <v>86</v>
      </c>
      <c r="H28" s="85" t="s">
        <v>156</v>
      </c>
      <c r="I28" s="85" t="s">
        <v>156</v>
      </c>
      <c r="J28" s="83">
        <v>4</v>
      </c>
    </row>
    <row r="29" spans="1:10">
      <c r="A29" s="83">
        <v>24</v>
      </c>
      <c r="B29" s="83" t="s">
        <v>72</v>
      </c>
      <c r="C29" s="84" t="s">
        <v>82</v>
      </c>
      <c r="D29" s="83" t="s">
        <v>83</v>
      </c>
      <c r="E29" s="85" t="s">
        <v>156</v>
      </c>
      <c r="F29" s="85" t="s">
        <v>156</v>
      </c>
      <c r="G29" s="86" t="s">
        <v>210</v>
      </c>
      <c r="H29" s="84" t="s">
        <v>86</v>
      </c>
      <c r="I29" s="85" t="s">
        <v>156</v>
      </c>
      <c r="J29" s="83">
        <v>3</v>
      </c>
    </row>
    <row r="30" spans="1:10">
      <c r="A30" s="83">
        <v>25</v>
      </c>
      <c r="B30" s="83" t="s">
        <v>73</v>
      </c>
      <c r="C30" s="84" t="s">
        <v>82</v>
      </c>
      <c r="D30" s="83" t="s">
        <v>83</v>
      </c>
      <c r="E30" s="84" t="s">
        <v>86</v>
      </c>
      <c r="F30" s="85" t="s">
        <v>156</v>
      </c>
      <c r="G30" s="85" t="s">
        <v>156</v>
      </c>
      <c r="H30" s="86" t="s">
        <v>210</v>
      </c>
      <c r="I30" s="84" t="s">
        <v>86</v>
      </c>
      <c r="J30" s="83">
        <v>3</v>
      </c>
    </row>
    <row r="31" spans="1:10">
      <c r="A31" s="83">
        <v>26</v>
      </c>
      <c r="B31" s="83" t="s">
        <v>74</v>
      </c>
      <c r="C31" s="84" t="s">
        <v>82</v>
      </c>
      <c r="D31" s="84" t="s">
        <v>82</v>
      </c>
      <c r="E31" s="86" t="s">
        <v>210</v>
      </c>
      <c r="F31" s="84" t="s">
        <v>86</v>
      </c>
      <c r="G31" s="85" t="s">
        <v>156</v>
      </c>
      <c r="H31" s="85" t="s">
        <v>156</v>
      </c>
      <c r="I31" s="86" t="s">
        <v>210</v>
      </c>
      <c r="J31" s="83">
        <v>5</v>
      </c>
    </row>
    <row r="32" spans="1:10" s="19" customFormat="1">
      <c r="A32" s="83">
        <v>27</v>
      </c>
      <c r="B32" s="83" t="s">
        <v>75</v>
      </c>
      <c r="C32" s="84" t="s">
        <v>82</v>
      </c>
      <c r="D32" s="84" t="s">
        <v>82</v>
      </c>
      <c r="E32" s="85" t="s">
        <v>156</v>
      </c>
      <c r="F32" s="86" t="s">
        <v>210</v>
      </c>
      <c r="G32" s="84" t="s">
        <v>86</v>
      </c>
      <c r="H32" s="85" t="s">
        <v>156</v>
      </c>
      <c r="I32" s="85" t="s">
        <v>156</v>
      </c>
      <c r="J32" s="83">
        <v>5</v>
      </c>
    </row>
    <row r="33" spans="1:10" s="19" customFormat="1">
      <c r="A33" s="83">
        <v>28</v>
      </c>
      <c r="B33" s="83" t="s">
        <v>76</v>
      </c>
      <c r="C33" s="84" t="s">
        <v>82</v>
      </c>
      <c r="D33" s="84" t="s">
        <v>82</v>
      </c>
      <c r="E33" s="85" t="s">
        <v>156</v>
      </c>
      <c r="F33" s="85" t="s">
        <v>156</v>
      </c>
      <c r="G33" s="86" t="s">
        <v>210</v>
      </c>
      <c r="H33" s="84" t="s">
        <v>86</v>
      </c>
      <c r="I33" s="85" t="s">
        <v>156</v>
      </c>
      <c r="J33" s="83">
        <v>4</v>
      </c>
    </row>
    <row r="34" spans="1:10">
      <c r="A34" s="83">
        <v>29</v>
      </c>
      <c r="B34" s="83" t="s">
        <v>81</v>
      </c>
      <c r="C34" s="83" t="s">
        <v>83</v>
      </c>
      <c r="D34" s="84" t="s">
        <v>82</v>
      </c>
      <c r="E34" s="84" t="s">
        <v>86</v>
      </c>
      <c r="F34" s="85" t="s">
        <v>156</v>
      </c>
      <c r="G34" s="85" t="s">
        <v>156</v>
      </c>
      <c r="H34" s="86" t="s">
        <v>210</v>
      </c>
      <c r="I34" s="84" t="s">
        <v>86</v>
      </c>
      <c r="J34" s="83">
        <v>4</v>
      </c>
    </row>
    <row r="35" spans="1:10">
      <c r="A35" s="83">
        <v>30</v>
      </c>
      <c r="B35" s="83" t="s">
        <v>84</v>
      </c>
      <c r="C35" s="83" t="s">
        <v>83</v>
      </c>
      <c r="D35" s="84" t="s">
        <v>82</v>
      </c>
      <c r="E35" s="86" t="s">
        <v>210</v>
      </c>
      <c r="F35" s="84" t="s">
        <v>86</v>
      </c>
      <c r="G35" s="85" t="s">
        <v>156</v>
      </c>
      <c r="H35" s="85" t="s">
        <v>156</v>
      </c>
      <c r="I35" s="86" t="s">
        <v>210</v>
      </c>
      <c r="J35" s="83">
        <v>4</v>
      </c>
    </row>
    <row r="36" spans="1:10">
      <c r="A36" s="464" t="s">
        <v>298</v>
      </c>
      <c r="B36" s="465"/>
      <c r="C36" s="465"/>
      <c r="D36" s="465"/>
      <c r="E36" s="468" t="s">
        <v>85</v>
      </c>
      <c r="F36" s="468"/>
      <c r="G36" s="468"/>
      <c r="H36" s="468"/>
      <c r="I36" s="468"/>
      <c r="J36" s="468"/>
    </row>
    <row r="37" spans="1:10">
      <c r="A37" s="466"/>
      <c r="B37" s="467"/>
      <c r="C37" s="467"/>
      <c r="D37" s="467"/>
      <c r="E37" s="468"/>
      <c r="F37" s="468"/>
      <c r="G37" s="468"/>
      <c r="H37" s="468"/>
      <c r="I37" s="468"/>
      <c r="J37" s="468"/>
    </row>
    <row r="38" spans="1:10">
      <c r="A38" s="464" t="s">
        <v>236</v>
      </c>
      <c r="B38" s="465"/>
      <c r="C38" s="465"/>
      <c r="D38" s="465"/>
      <c r="E38" s="468" t="s">
        <v>164</v>
      </c>
      <c r="F38" s="468"/>
      <c r="G38" s="468"/>
      <c r="H38" s="468"/>
      <c r="I38" s="468"/>
      <c r="J38" s="468"/>
    </row>
    <row r="39" spans="1:10">
      <c r="A39" s="466"/>
      <c r="B39" s="467"/>
      <c r="C39" s="467"/>
      <c r="D39" s="467"/>
      <c r="E39" s="468" t="s">
        <v>149</v>
      </c>
      <c r="F39" s="468"/>
      <c r="G39" s="468"/>
      <c r="H39" s="468"/>
      <c r="I39" s="468"/>
      <c r="J39" s="468"/>
    </row>
  </sheetData>
  <mergeCells count="13">
    <mergeCell ref="A36:D37"/>
    <mergeCell ref="E36:J37"/>
    <mergeCell ref="E38:J38"/>
    <mergeCell ref="E39:J39"/>
    <mergeCell ref="A1:J2"/>
    <mergeCell ref="J3:J5"/>
    <mergeCell ref="A3:B3"/>
    <mergeCell ref="C3:C5"/>
    <mergeCell ref="A4:A5"/>
    <mergeCell ref="B4:B5"/>
    <mergeCell ref="A38:D39"/>
    <mergeCell ref="E3:I4"/>
    <mergeCell ref="D3:D5"/>
  </mergeCells>
  <phoneticPr fontId="6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view="pageBreakPreview" zoomScaleNormal="100" zoomScaleSheetLayoutView="100" workbookViewId="0">
      <selection activeCell="N57" sqref="N57"/>
    </sheetView>
  </sheetViews>
  <sheetFormatPr defaultRowHeight="16.5"/>
  <cols>
    <col min="8" max="8" width="10.5" customWidth="1"/>
  </cols>
  <sheetData>
    <row r="1" spans="1:8" ht="27.75" customHeight="1">
      <c r="A1" s="469" t="s">
        <v>165</v>
      </c>
      <c r="B1" s="469"/>
      <c r="C1" s="469"/>
      <c r="D1" s="469"/>
      <c r="E1" s="469"/>
      <c r="F1" s="469"/>
      <c r="G1" s="469"/>
      <c r="H1" s="469"/>
    </row>
    <row r="2" spans="1:8" ht="9" customHeight="1">
      <c r="A2" s="470"/>
      <c r="B2" s="470"/>
      <c r="C2" s="470"/>
      <c r="D2" s="470"/>
      <c r="E2" s="470"/>
      <c r="F2" s="470"/>
      <c r="G2" s="470"/>
      <c r="H2" s="470"/>
    </row>
    <row r="3" spans="1:8">
      <c r="A3" s="471" t="s">
        <v>77</v>
      </c>
      <c r="B3" s="471"/>
      <c r="C3" s="476" t="s">
        <v>166</v>
      </c>
      <c r="D3" s="471" t="s">
        <v>167</v>
      </c>
      <c r="E3" s="471"/>
      <c r="F3" s="471"/>
      <c r="G3" s="471"/>
      <c r="H3" s="476" t="s">
        <v>144</v>
      </c>
    </row>
    <row r="4" spans="1:8">
      <c r="A4" s="471" t="s">
        <v>79</v>
      </c>
      <c r="B4" s="471" t="s">
        <v>80</v>
      </c>
      <c r="C4" s="477"/>
      <c r="D4" s="471"/>
      <c r="E4" s="471"/>
      <c r="F4" s="471"/>
      <c r="G4" s="471"/>
      <c r="H4" s="477"/>
    </row>
    <row r="5" spans="1:8" ht="21" customHeight="1">
      <c r="A5" s="471"/>
      <c r="B5" s="471"/>
      <c r="C5" s="478"/>
      <c r="D5" s="82" t="s">
        <v>168</v>
      </c>
      <c r="E5" s="82" t="s">
        <v>169</v>
      </c>
      <c r="F5" s="82" t="s">
        <v>170</v>
      </c>
      <c r="G5" s="82" t="s">
        <v>171</v>
      </c>
      <c r="H5" s="478"/>
    </row>
    <row r="6" spans="1:8">
      <c r="A6" s="83">
        <v>1</v>
      </c>
      <c r="B6" s="83" t="s">
        <v>81</v>
      </c>
      <c r="C6" s="83" t="s">
        <v>83</v>
      </c>
      <c r="D6" s="84" t="s">
        <v>86</v>
      </c>
      <c r="E6" s="85" t="s">
        <v>156</v>
      </c>
      <c r="F6" s="85" t="s">
        <v>156</v>
      </c>
      <c r="G6" s="86" t="s">
        <v>210</v>
      </c>
      <c r="H6" s="83">
        <v>2</v>
      </c>
    </row>
    <row r="7" spans="1:8">
      <c r="A7" s="83">
        <v>2</v>
      </c>
      <c r="B7" s="83" t="s">
        <v>84</v>
      </c>
      <c r="C7" s="83" t="s">
        <v>83</v>
      </c>
      <c r="D7" s="86" t="s">
        <v>210</v>
      </c>
      <c r="E7" s="84" t="s">
        <v>86</v>
      </c>
      <c r="F7" s="85" t="s">
        <v>157</v>
      </c>
      <c r="G7" s="85" t="s">
        <v>156</v>
      </c>
      <c r="H7" s="83">
        <v>2</v>
      </c>
    </row>
    <row r="8" spans="1:8">
      <c r="A8" s="83">
        <v>3</v>
      </c>
      <c r="B8" s="83" t="s">
        <v>72</v>
      </c>
      <c r="C8" s="84" t="s">
        <v>82</v>
      </c>
      <c r="D8" s="85" t="s">
        <v>156</v>
      </c>
      <c r="E8" s="86" t="s">
        <v>210</v>
      </c>
      <c r="F8" s="84" t="s">
        <v>86</v>
      </c>
      <c r="G8" s="85" t="s">
        <v>156</v>
      </c>
      <c r="H8" s="83">
        <v>3</v>
      </c>
    </row>
    <row r="9" spans="1:8">
      <c r="A9" s="83">
        <v>4</v>
      </c>
      <c r="B9" s="83" t="s">
        <v>73</v>
      </c>
      <c r="C9" s="84" t="s">
        <v>82</v>
      </c>
      <c r="D9" s="85" t="s">
        <v>156</v>
      </c>
      <c r="E9" s="85" t="s">
        <v>156</v>
      </c>
      <c r="F9" s="86" t="s">
        <v>210</v>
      </c>
      <c r="G9" s="84" t="s">
        <v>86</v>
      </c>
      <c r="H9" s="83">
        <v>3</v>
      </c>
    </row>
    <row r="10" spans="1:8">
      <c r="A10" s="83">
        <v>5</v>
      </c>
      <c r="B10" s="83" t="s">
        <v>74</v>
      </c>
      <c r="C10" s="84" t="s">
        <v>82</v>
      </c>
      <c r="D10" s="84" t="s">
        <v>86</v>
      </c>
      <c r="E10" s="85" t="s">
        <v>156</v>
      </c>
      <c r="F10" s="85" t="s">
        <v>156</v>
      </c>
      <c r="G10" s="86" t="s">
        <v>210</v>
      </c>
      <c r="H10" s="83">
        <v>3</v>
      </c>
    </row>
    <row r="11" spans="1:8" s="18" customFormat="1">
      <c r="A11" s="83">
        <v>6</v>
      </c>
      <c r="B11" s="83" t="s">
        <v>75</v>
      </c>
      <c r="C11" s="84" t="s">
        <v>142</v>
      </c>
      <c r="D11" s="86" t="s">
        <v>210</v>
      </c>
      <c r="E11" s="84" t="s">
        <v>86</v>
      </c>
      <c r="F11" s="85" t="s">
        <v>156</v>
      </c>
      <c r="G11" s="85" t="s">
        <v>156</v>
      </c>
      <c r="H11" s="83">
        <v>3</v>
      </c>
    </row>
    <row r="12" spans="1:8" s="18" customFormat="1">
      <c r="A12" s="83">
        <v>7</v>
      </c>
      <c r="B12" s="83" t="s">
        <v>76</v>
      </c>
      <c r="C12" s="84" t="s">
        <v>142</v>
      </c>
      <c r="D12" s="85" t="s">
        <v>156</v>
      </c>
      <c r="E12" s="86" t="s">
        <v>210</v>
      </c>
      <c r="F12" s="84" t="s">
        <v>86</v>
      </c>
      <c r="G12" s="85" t="s">
        <v>156</v>
      </c>
      <c r="H12" s="83">
        <v>3</v>
      </c>
    </row>
    <row r="13" spans="1:8">
      <c r="A13" s="83">
        <v>8</v>
      </c>
      <c r="B13" s="83" t="s">
        <v>81</v>
      </c>
      <c r="C13" s="83" t="s">
        <v>83</v>
      </c>
      <c r="D13" s="85" t="s">
        <v>156</v>
      </c>
      <c r="E13" s="85" t="s">
        <v>156</v>
      </c>
      <c r="F13" s="86" t="s">
        <v>210</v>
      </c>
      <c r="G13" s="84" t="s">
        <v>86</v>
      </c>
      <c r="H13" s="83">
        <v>2</v>
      </c>
    </row>
    <row r="14" spans="1:8">
      <c r="A14" s="83">
        <v>9</v>
      </c>
      <c r="B14" s="83" t="s">
        <v>84</v>
      </c>
      <c r="C14" s="83" t="s">
        <v>83</v>
      </c>
      <c r="D14" s="84" t="s">
        <v>86</v>
      </c>
      <c r="E14" s="85" t="s">
        <v>156</v>
      </c>
      <c r="F14" s="85" t="s">
        <v>156</v>
      </c>
      <c r="G14" s="86" t="s">
        <v>210</v>
      </c>
      <c r="H14" s="83">
        <v>2</v>
      </c>
    </row>
    <row r="15" spans="1:8">
      <c r="A15" s="83">
        <v>10</v>
      </c>
      <c r="B15" s="83" t="s">
        <v>72</v>
      </c>
      <c r="C15" s="84" t="s">
        <v>82</v>
      </c>
      <c r="D15" s="86" t="s">
        <v>210</v>
      </c>
      <c r="E15" s="84" t="s">
        <v>86</v>
      </c>
      <c r="F15" s="85" t="s">
        <v>156</v>
      </c>
      <c r="G15" s="85" t="s">
        <v>156</v>
      </c>
      <c r="H15" s="83">
        <v>3</v>
      </c>
    </row>
    <row r="16" spans="1:8">
      <c r="A16" s="83">
        <v>11</v>
      </c>
      <c r="B16" s="83" t="s">
        <v>73</v>
      </c>
      <c r="C16" s="84" t="s">
        <v>82</v>
      </c>
      <c r="D16" s="85" t="s">
        <v>156</v>
      </c>
      <c r="E16" s="86" t="s">
        <v>210</v>
      </c>
      <c r="F16" s="84" t="s">
        <v>86</v>
      </c>
      <c r="G16" s="85" t="s">
        <v>156</v>
      </c>
      <c r="H16" s="83">
        <v>3</v>
      </c>
    </row>
    <row r="17" spans="1:8">
      <c r="A17" s="83">
        <v>12</v>
      </c>
      <c r="B17" s="83" t="s">
        <v>74</v>
      </c>
      <c r="C17" s="84" t="s">
        <v>82</v>
      </c>
      <c r="D17" s="85" t="s">
        <v>156</v>
      </c>
      <c r="E17" s="85" t="s">
        <v>156</v>
      </c>
      <c r="F17" s="86" t="s">
        <v>210</v>
      </c>
      <c r="G17" s="84" t="s">
        <v>86</v>
      </c>
      <c r="H17" s="83">
        <v>3</v>
      </c>
    </row>
    <row r="18" spans="1:8" s="18" customFormat="1">
      <c r="A18" s="83">
        <v>13</v>
      </c>
      <c r="B18" s="83" t="s">
        <v>75</v>
      </c>
      <c r="C18" s="84" t="s">
        <v>82</v>
      </c>
      <c r="D18" s="84" t="s">
        <v>86</v>
      </c>
      <c r="E18" s="85" t="s">
        <v>156</v>
      </c>
      <c r="F18" s="85" t="s">
        <v>156</v>
      </c>
      <c r="G18" s="86" t="s">
        <v>210</v>
      </c>
      <c r="H18" s="83">
        <v>3</v>
      </c>
    </row>
    <row r="19" spans="1:8" s="18" customFormat="1">
      <c r="A19" s="83">
        <v>14</v>
      </c>
      <c r="B19" s="83" t="s">
        <v>76</v>
      </c>
      <c r="C19" s="84" t="s">
        <v>82</v>
      </c>
      <c r="D19" s="86" t="s">
        <v>210</v>
      </c>
      <c r="E19" s="84" t="s">
        <v>86</v>
      </c>
      <c r="F19" s="85" t="s">
        <v>156</v>
      </c>
      <c r="G19" s="85" t="s">
        <v>156</v>
      </c>
      <c r="H19" s="83">
        <v>3</v>
      </c>
    </row>
    <row r="20" spans="1:8">
      <c r="A20" s="83">
        <v>15</v>
      </c>
      <c r="B20" s="83" t="s">
        <v>81</v>
      </c>
      <c r="C20" s="83" t="s">
        <v>83</v>
      </c>
      <c r="D20" s="85" t="s">
        <v>156</v>
      </c>
      <c r="E20" s="86" t="s">
        <v>210</v>
      </c>
      <c r="F20" s="84" t="s">
        <v>86</v>
      </c>
      <c r="G20" s="85" t="s">
        <v>156</v>
      </c>
      <c r="H20" s="83">
        <v>2</v>
      </c>
    </row>
    <row r="21" spans="1:8">
      <c r="A21" s="83">
        <v>16</v>
      </c>
      <c r="B21" s="83" t="s">
        <v>84</v>
      </c>
      <c r="C21" s="83" t="s">
        <v>83</v>
      </c>
      <c r="D21" s="85" t="s">
        <v>156</v>
      </c>
      <c r="E21" s="85" t="s">
        <v>156</v>
      </c>
      <c r="F21" s="86" t="s">
        <v>210</v>
      </c>
      <c r="G21" s="84" t="s">
        <v>86</v>
      </c>
      <c r="H21" s="83">
        <v>2</v>
      </c>
    </row>
    <row r="22" spans="1:8">
      <c r="A22" s="83">
        <v>17</v>
      </c>
      <c r="B22" s="83" t="s">
        <v>72</v>
      </c>
      <c r="C22" s="84" t="s">
        <v>82</v>
      </c>
      <c r="D22" s="84" t="s">
        <v>86</v>
      </c>
      <c r="E22" s="85" t="s">
        <v>156</v>
      </c>
      <c r="F22" s="85" t="s">
        <v>156</v>
      </c>
      <c r="G22" s="86" t="s">
        <v>210</v>
      </c>
      <c r="H22" s="83">
        <v>3</v>
      </c>
    </row>
    <row r="23" spans="1:8">
      <c r="A23" s="83">
        <v>18</v>
      </c>
      <c r="B23" s="83" t="s">
        <v>73</v>
      </c>
      <c r="C23" s="84" t="s">
        <v>82</v>
      </c>
      <c r="D23" s="86" t="s">
        <v>210</v>
      </c>
      <c r="E23" s="84" t="s">
        <v>86</v>
      </c>
      <c r="F23" s="85" t="s">
        <v>156</v>
      </c>
      <c r="G23" s="85" t="s">
        <v>156</v>
      </c>
      <c r="H23" s="83">
        <v>3</v>
      </c>
    </row>
    <row r="24" spans="1:8">
      <c r="A24" s="83">
        <v>19</v>
      </c>
      <c r="B24" s="83" t="s">
        <v>74</v>
      </c>
      <c r="C24" s="84" t="s">
        <v>82</v>
      </c>
      <c r="D24" s="85" t="s">
        <v>156</v>
      </c>
      <c r="E24" s="86" t="s">
        <v>210</v>
      </c>
      <c r="F24" s="84" t="s">
        <v>86</v>
      </c>
      <c r="G24" s="85" t="s">
        <v>156</v>
      </c>
      <c r="H24" s="83">
        <v>3</v>
      </c>
    </row>
    <row r="25" spans="1:8" s="18" customFormat="1">
      <c r="A25" s="83">
        <v>20</v>
      </c>
      <c r="B25" s="83" t="s">
        <v>75</v>
      </c>
      <c r="C25" s="84" t="s">
        <v>82</v>
      </c>
      <c r="D25" s="85" t="s">
        <v>156</v>
      </c>
      <c r="E25" s="85" t="s">
        <v>156</v>
      </c>
      <c r="F25" s="86" t="s">
        <v>210</v>
      </c>
      <c r="G25" s="84" t="s">
        <v>86</v>
      </c>
      <c r="H25" s="83">
        <v>3</v>
      </c>
    </row>
    <row r="26" spans="1:8" s="18" customFormat="1">
      <c r="A26" s="83">
        <v>21</v>
      </c>
      <c r="B26" s="83" t="s">
        <v>76</v>
      </c>
      <c r="C26" s="84" t="s">
        <v>82</v>
      </c>
      <c r="D26" s="84" t="s">
        <v>86</v>
      </c>
      <c r="E26" s="85" t="s">
        <v>156</v>
      </c>
      <c r="F26" s="85" t="s">
        <v>156</v>
      </c>
      <c r="G26" s="86" t="s">
        <v>210</v>
      </c>
      <c r="H26" s="83">
        <v>3</v>
      </c>
    </row>
    <row r="27" spans="1:8">
      <c r="A27" s="83">
        <v>22</v>
      </c>
      <c r="B27" s="83" t="s">
        <v>81</v>
      </c>
      <c r="C27" s="83" t="s">
        <v>83</v>
      </c>
      <c r="D27" s="86" t="s">
        <v>210</v>
      </c>
      <c r="E27" s="84" t="s">
        <v>86</v>
      </c>
      <c r="F27" s="85" t="s">
        <v>156</v>
      </c>
      <c r="G27" s="85" t="s">
        <v>156</v>
      </c>
      <c r="H27" s="83">
        <v>2</v>
      </c>
    </row>
    <row r="28" spans="1:8">
      <c r="A28" s="83">
        <v>23</v>
      </c>
      <c r="B28" s="83" t="s">
        <v>84</v>
      </c>
      <c r="C28" s="83" t="s">
        <v>83</v>
      </c>
      <c r="D28" s="85" t="s">
        <v>156</v>
      </c>
      <c r="E28" s="86" t="s">
        <v>210</v>
      </c>
      <c r="F28" s="84" t="s">
        <v>86</v>
      </c>
      <c r="G28" s="85" t="s">
        <v>156</v>
      </c>
      <c r="H28" s="83">
        <v>2</v>
      </c>
    </row>
    <row r="29" spans="1:8">
      <c r="A29" s="83">
        <v>24</v>
      </c>
      <c r="B29" s="83" t="s">
        <v>72</v>
      </c>
      <c r="C29" s="84" t="s">
        <v>82</v>
      </c>
      <c r="D29" s="85" t="s">
        <v>156</v>
      </c>
      <c r="E29" s="85" t="s">
        <v>156</v>
      </c>
      <c r="F29" s="86" t="s">
        <v>210</v>
      </c>
      <c r="G29" s="84" t="s">
        <v>86</v>
      </c>
      <c r="H29" s="83">
        <v>3</v>
      </c>
    </row>
    <row r="30" spans="1:8">
      <c r="A30" s="83">
        <v>25</v>
      </c>
      <c r="B30" s="83" t="s">
        <v>73</v>
      </c>
      <c r="C30" s="84" t="s">
        <v>82</v>
      </c>
      <c r="D30" s="84" t="s">
        <v>86</v>
      </c>
      <c r="E30" s="85" t="s">
        <v>156</v>
      </c>
      <c r="F30" s="85" t="s">
        <v>156</v>
      </c>
      <c r="G30" s="86" t="s">
        <v>210</v>
      </c>
      <c r="H30" s="83">
        <v>3</v>
      </c>
    </row>
    <row r="31" spans="1:8">
      <c r="A31" s="83">
        <v>26</v>
      </c>
      <c r="B31" s="83" t="s">
        <v>74</v>
      </c>
      <c r="C31" s="84" t="s">
        <v>82</v>
      </c>
      <c r="D31" s="86" t="s">
        <v>210</v>
      </c>
      <c r="E31" s="84" t="s">
        <v>86</v>
      </c>
      <c r="F31" s="85" t="s">
        <v>156</v>
      </c>
      <c r="G31" s="85" t="s">
        <v>156</v>
      </c>
      <c r="H31" s="83">
        <v>3</v>
      </c>
    </row>
    <row r="32" spans="1:8" s="18" customFormat="1">
      <c r="A32" s="83">
        <v>27</v>
      </c>
      <c r="B32" s="83" t="s">
        <v>75</v>
      </c>
      <c r="C32" s="84" t="s">
        <v>82</v>
      </c>
      <c r="D32" s="85" t="s">
        <v>156</v>
      </c>
      <c r="E32" s="86" t="s">
        <v>210</v>
      </c>
      <c r="F32" s="84" t="s">
        <v>86</v>
      </c>
      <c r="G32" s="85" t="s">
        <v>156</v>
      </c>
      <c r="H32" s="83">
        <v>3</v>
      </c>
    </row>
    <row r="33" spans="1:8" s="18" customFormat="1">
      <c r="A33" s="83">
        <v>28</v>
      </c>
      <c r="B33" s="83" t="s">
        <v>76</v>
      </c>
      <c r="C33" s="84" t="s">
        <v>82</v>
      </c>
      <c r="D33" s="85" t="s">
        <v>156</v>
      </c>
      <c r="E33" s="85" t="s">
        <v>156</v>
      </c>
      <c r="F33" s="86" t="s">
        <v>210</v>
      </c>
      <c r="G33" s="84" t="s">
        <v>86</v>
      </c>
      <c r="H33" s="83">
        <v>3</v>
      </c>
    </row>
    <row r="34" spans="1:8">
      <c r="A34" s="83">
        <v>29</v>
      </c>
      <c r="B34" s="83" t="s">
        <v>81</v>
      </c>
      <c r="C34" s="83" t="s">
        <v>83</v>
      </c>
      <c r="D34" s="84" t="s">
        <v>86</v>
      </c>
      <c r="E34" s="85" t="s">
        <v>156</v>
      </c>
      <c r="F34" s="85" t="s">
        <v>156</v>
      </c>
      <c r="G34" s="86" t="s">
        <v>210</v>
      </c>
      <c r="H34" s="83">
        <v>2</v>
      </c>
    </row>
    <row r="35" spans="1:8">
      <c r="A35" s="83">
        <v>30</v>
      </c>
      <c r="B35" s="83" t="s">
        <v>84</v>
      </c>
      <c r="C35" s="83" t="s">
        <v>83</v>
      </c>
      <c r="D35" s="86" t="s">
        <v>210</v>
      </c>
      <c r="E35" s="84" t="s">
        <v>86</v>
      </c>
      <c r="F35" s="85" t="s">
        <v>156</v>
      </c>
      <c r="G35" s="85" t="s">
        <v>156</v>
      </c>
      <c r="H35" s="83">
        <v>2</v>
      </c>
    </row>
    <row r="36" spans="1:8" ht="18.600000000000001" customHeight="1">
      <c r="A36" s="87" t="s">
        <v>159</v>
      </c>
      <c r="B36" s="479" t="s">
        <v>140</v>
      </c>
      <c r="C36" s="480"/>
      <c r="D36" s="480"/>
      <c r="E36" s="480"/>
      <c r="F36" s="480"/>
      <c r="G36" s="480"/>
      <c r="H36" s="481"/>
    </row>
    <row r="37" spans="1:8" ht="18.600000000000001" customHeight="1">
      <c r="A37" s="87" t="s">
        <v>172</v>
      </c>
      <c r="B37" s="479" t="s">
        <v>140</v>
      </c>
      <c r="C37" s="480"/>
      <c r="D37" s="480"/>
      <c r="E37" s="480"/>
      <c r="F37" s="480"/>
      <c r="G37" s="480"/>
      <c r="H37" s="481"/>
    </row>
    <row r="38" spans="1:8">
      <c r="A38" s="87" t="s">
        <v>169</v>
      </c>
      <c r="B38" s="479" t="s">
        <v>211</v>
      </c>
      <c r="C38" s="480"/>
      <c r="D38" s="480"/>
      <c r="E38" s="480"/>
      <c r="F38" s="480"/>
      <c r="G38" s="480"/>
      <c r="H38" s="481"/>
    </row>
    <row r="39" spans="1:8">
      <c r="A39" s="87" t="s">
        <v>170</v>
      </c>
      <c r="B39" s="482" t="s">
        <v>227</v>
      </c>
      <c r="C39" s="483"/>
      <c r="D39" s="483"/>
      <c r="E39" s="483"/>
      <c r="F39" s="483"/>
      <c r="G39" s="483"/>
      <c r="H39" s="484"/>
    </row>
    <row r="40" spans="1:8">
      <c r="A40" s="87" t="s">
        <v>171</v>
      </c>
      <c r="B40" s="479" t="s">
        <v>228</v>
      </c>
      <c r="C40" s="480"/>
      <c r="D40" s="480"/>
      <c r="E40" s="480"/>
      <c r="F40" s="480"/>
      <c r="G40" s="480"/>
      <c r="H40" s="481"/>
    </row>
  </sheetData>
  <mergeCells count="12">
    <mergeCell ref="B40:H40"/>
    <mergeCell ref="B36:H36"/>
    <mergeCell ref="B37:H37"/>
    <mergeCell ref="B38:H38"/>
    <mergeCell ref="B39:H39"/>
    <mergeCell ref="H3:H5"/>
    <mergeCell ref="A1:H2"/>
    <mergeCell ref="A3:B3"/>
    <mergeCell ref="D3:G4"/>
    <mergeCell ref="A4:A5"/>
    <mergeCell ref="B4:B5"/>
    <mergeCell ref="C3:C5"/>
  </mergeCells>
  <phoneticPr fontId="18" type="noConversion"/>
  <printOptions horizontalCentered="1"/>
  <pageMargins left="0.70866141732283472" right="0.70866141732283472" top="0.64" bottom="0.27559055118110237" header="0.31496062992125984" footer="0.19685039370078741"/>
  <pageSetup paperSize="9" scale="10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view="pageBreakPreview" zoomScaleNormal="100" zoomScaleSheetLayoutView="100" workbookViewId="0">
      <selection activeCell="J53" sqref="J53"/>
    </sheetView>
  </sheetViews>
  <sheetFormatPr defaultRowHeight="16.5"/>
  <cols>
    <col min="8" max="8" width="10.5" customWidth="1"/>
  </cols>
  <sheetData>
    <row r="1" spans="1:8" ht="27.75" customHeight="1">
      <c r="A1" s="486" t="s">
        <v>178</v>
      </c>
      <c r="B1" s="469"/>
      <c r="C1" s="469"/>
      <c r="D1" s="469"/>
      <c r="E1" s="469"/>
      <c r="F1" s="469"/>
      <c r="G1" s="469"/>
      <c r="H1" s="469"/>
    </row>
    <row r="2" spans="1:8" ht="16.5" customHeight="1">
      <c r="A2" s="487"/>
      <c r="B2" s="470"/>
      <c r="C2" s="470"/>
      <c r="D2" s="470"/>
      <c r="E2" s="470"/>
      <c r="F2" s="470"/>
      <c r="G2" s="470"/>
      <c r="H2" s="470"/>
    </row>
    <row r="3" spans="1:8" ht="19.149999999999999" customHeight="1">
      <c r="A3" s="471" t="s">
        <v>145</v>
      </c>
      <c r="B3" s="471"/>
      <c r="C3" s="472"/>
      <c r="D3" s="472"/>
      <c r="E3" s="472"/>
      <c r="F3" s="472"/>
      <c r="G3" s="473"/>
      <c r="H3" s="476" t="s">
        <v>144</v>
      </c>
    </row>
    <row r="4" spans="1:8" ht="19.149999999999999" customHeight="1">
      <c r="A4" s="471" t="s">
        <v>79</v>
      </c>
      <c r="B4" s="471" t="s">
        <v>80</v>
      </c>
      <c r="C4" s="474"/>
      <c r="D4" s="474"/>
      <c r="E4" s="474"/>
      <c r="F4" s="474"/>
      <c r="G4" s="475"/>
      <c r="H4" s="477"/>
    </row>
    <row r="5" spans="1:8" ht="19.149999999999999" customHeight="1">
      <c r="A5" s="471"/>
      <c r="B5" s="471"/>
      <c r="C5" s="82" t="s">
        <v>173</v>
      </c>
      <c r="D5" s="82" t="s">
        <v>174</v>
      </c>
      <c r="E5" s="82" t="s">
        <v>175</v>
      </c>
      <c r="F5" s="82" t="s">
        <v>176</v>
      </c>
      <c r="G5" s="82" t="s">
        <v>177</v>
      </c>
      <c r="H5" s="478"/>
    </row>
    <row r="6" spans="1:8">
      <c r="A6" s="83">
        <v>1</v>
      </c>
      <c r="B6" s="83" t="s">
        <v>81</v>
      </c>
      <c r="C6" s="84" t="s">
        <v>137</v>
      </c>
      <c r="D6" s="84" t="s">
        <v>86</v>
      </c>
      <c r="E6" s="83" t="s">
        <v>136</v>
      </c>
      <c r="F6" s="83" t="s">
        <v>136</v>
      </c>
      <c r="G6" s="83" t="s">
        <v>136</v>
      </c>
      <c r="H6" s="83">
        <v>2</v>
      </c>
    </row>
    <row r="7" spans="1:8">
      <c r="A7" s="83">
        <v>2</v>
      </c>
      <c r="B7" s="83" t="s">
        <v>84</v>
      </c>
      <c r="C7" s="84" t="s">
        <v>137</v>
      </c>
      <c r="D7" s="84" t="s">
        <v>86</v>
      </c>
      <c r="E7" s="84" t="s">
        <v>86</v>
      </c>
      <c r="F7" s="83" t="s">
        <v>136</v>
      </c>
      <c r="G7" s="83" t="s">
        <v>136</v>
      </c>
      <c r="H7" s="83">
        <v>3</v>
      </c>
    </row>
    <row r="8" spans="1:8">
      <c r="A8" s="83">
        <v>3</v>
      </c>
      <c r="B8" s="83" t="s">
        <v>72</v>
      </c>
      <c r="C8" s="84" t="s">
        <v>137</v>
      </c>
      <c r="D8" s="83" t="s">
        <v>136</v>
      </c>
      <c r="E8" s="83" t="s">
        <v>136</v>
      </c>
      <c r="F8" s="84" t="s">
        <v>137</v>
      </c>
      <c r="G8" s="84" t="s">
        <v>86</v>
      </c>
      <c r="H8" s="83">
        <v>3</v>
      </c>
    </row>
    <row r="9" spans="1:8">
      <c r="A9" s="83">
        <v>4</v>
      </c>
      <c r="B9" s="83" t="s">
        <v>73</v>
      </c>
      <c r="C9" s="83" t="s">
        <v>146</v>
      </c>
      <c r="D9" s="83" t="s">
        <v>136</v>
      </c>
      <c r="E9" s="84" t="s">
        <v>137</v>
      </c>
      <c r="F9" s="84" t="s">
        <v>137</v>
      </c>
      <c r="G9" s="84" t="s">
        <v>86</v>
      </c>
      <c r="H9" s="83">
        <v>3</v>
      </c>
    </row>
    <row r="10" spans="1:8">
      <c r="A10" s="83">
        <v>5</v>
      </c>
      <c r="B10" s="83" t="s">
        <v>74</v>
      </c>
      <c r="C10" s="83" t="s">
        <v>146</v>
      </c>
      <c r="D10" s="84" t="s">
        <v>86</v>
      </c>
      <c r="E10" s="84" t="s">
        <v>86</v>
      </c>
      <c r="F10" s="84" t="s">
        <v>86</v>
      </c>
      <c r="G10" s="84" t="s">
        <v>86</v>
      </c>
      <c r="H10" s="83">
        <v>4</v>
      </c>
    </row>
    <row r="11" spans="1:8" s="18" customFormat="1">
      <c r="A11" s="83">
        <v>6</v>
      </c>
      <c r="B11" s="83" t="s">
        <v>75</v>
      </c>
      <c r="C11" s="84" t="s">
        <v>137</v>
      </c>
      <c r="D11" s="84" t="s">
        <v>138</v>
      </c>
      <c r="E11" s="84" t="s">
        <v>138</v>
      </c>
      <c r="F11" s="84" t="s">
        <v>138</v>
      </c>
      <c r="G11" s="84" t="s">
        <v>138</v>
      </c>
      <c r="H11" s="83">
        <v>5</v>
      </c>
    </row>
    <row r="12" spans="1:8" s="18" customFormat="1">
      <c r="A12" s="83">
        <v>7</v>
      </c>
      <c r="B12" s="83" t="s">
        <v>76</v>
      </c>
      <c r="C12" s="84" t="s">
        <v>137</v>
      </c>
      <c r="D12" s="84" t="s">
        <v>138</v>
      </c>
      <c r="E12" s="84" t="s">
        <v>138</v>
      </c>
      <c r="F12" s="84" t="s">
        <v>138</v>
      </c>
      <c r="G12" s="84" t="s">
        <v>138</v>
      </c>
      <c r="H12" s="83">
        <v>5</v>
      </c>
    </row>
    <row r="13" spans="1:8">
      <c r="A13" s="83">
        <v>8</v>
      </c>
      <c r="B13" s="83" t="s">
        <v>81</v>
      </c>
      <c r="C13" s="84" t="s">
        <v>137</v>
      </c>
      <c r="D13" s="84" t="s">
        <v>86</v>
      </c>
      <c r="E13" s="83" t="s">
        <v>136</v>
      </c>
      <c r="F13" s="83" t="s">
        <v>136</v>
      </c>
      <c r="G13" s="83" t="s">
        <v>136</v>
      </c>
      <c r="H13" s="83">
        <v>2</v>
      </c>
    </row>
    <row r="14" spans="1:8">
      <c r="A14" s="83">
        <v>9</v>
      </c>
      <c r="B14" s="83" t="s">
        <v>84</v>
      </c>
      <c r="C14" s="84" t="s">
        <v>137</v>
      </c>
      <c r="D14" s="84" t="s">
        <v>86</v>
      </c>
      <c r="E14" s="84" t="s">
        <v>86</v>
      </c>
      <c r="F14" s="83" t="s">
        <v>136</v>
      </c>
      <c r="G14" s="83" t="s">
        <v>136</v>
      </c>
      <c r="H14" s="83">
        <v>3</v>
      </c>
    </row>
    <row r="15" spans="1:8">
      <c r="A15" s="83">
        <v>10</v>
      </c>
      <c r="B15" s="83" t="s">
        <v>72</v>
      </c>
      <c r="C15" s="84" t="s">
        <v>137</v>
      </c>
      <c r="D15" s="83" t="s">
        <v>136</v>
      </c>
      <c r="E15" s="83" t="s">
        <v>136</v>
      </c>
      <c r="F15" s="84" t="s">
        <v>137</v>
      </c>
      <c r="G15" s="84" t="s">
        <v>86</v>
      </c>
      <c r="H15" s="83">
        <v>3</v>
      </c>
    </row>
    <row r="16" spans="1:8">
      <c r="A16" s="83">
        <v>11</v>
      </c>
      <c r="B16" s="83" t="s">
        <v>73</v>
      </c>
      <c r="C16" s="83" t="s">
        <v>146</v>
      </c>
      <c r="D16" s="83" t="s">
        <v>136</v>
      </c>
      <c r="E16" s="84" t="s">
        <v>137</v>
      </c>
      <c r="F16" s="84" t="s">
        <v>137</v>
      </c>
      <c r="G16" s="84" t="s">
        <v>86</v>
      </c>
      <c r="H16" s="83">
        <v>3</v>
      </c>
    </row>
    <row r="17" spans="1:8">
      <c r="A17" s="83">
        <v>12</v>
      </c>
      <c r="B17" s="83" t="s">
        <v>74</v>
      </c>
      <c r="C17" s="83" t="s">
        <v>146</v>
      </c>
      <c r="D17" s="84" t="s">
        <v>86</v>
      </c>
      <c r="E17" s="84" t="s">
        <v>86</v>
      </c>
      <c r="F17" s="84" t="s">
        <v>86</v>
      </c>
      <c r="G17" s="84" t="s">
        <v>86</v>
      </c>
      <c r="H17" s="83">
        <v>4</v>
      </c>
    </row>
    <row r="18" spans="1:8" s="18" customFormat="1">
      <c r="A18" s="83">
        <v>13</v>
      </c>
      <c r="B18" s="83" t="s">
        <v>75</v>
      </c>
      <c r="C18" s="84" t="s">
        <v>137</v>
      </c>
      <c r="D18" s="84" t="s">
        <v>86</v>
      </c>
      <c r="E18" s="84" t="s">
        <v>86</v>
      </c>
      <c r="F18" s="84" t="s">
        <v>86</v>
      </c>
      <c r="G18" s="84" t="s">
        <v>86</v>
      </c>
      <c r="H18" s="83">
        <v>5</v>
      </c>
    </row>
    <row r="19" spans="1:8" s="18" customFormat="1">
      <c r="A19" s="83">
        <v>14</v>
      </c>
      <c r="B19" s="83" t="s">
        <v>76</v>
      </c>
      <c r="C19" s="84" t="s">
        <v>137</v>
      </c>
      <c r="D19" s="84" t="s">
        <v>86</v>
      </c>
      <c r="E19" s="84" t="s">
        <v>86</v>
      </c>
      <c r="F19" s="84" t="s">
        <v>86</v>
      </c>
      <c r="G19" s="84" t="s">
        <v>86</v>
      </c>
      <c r="H19" s="83">
        <v>5</v>
      </c>
    </row>
    <row r="20" spans="1:8">
      <c r="A20" s="83">
        <v>15</v>
      </c>
      <c r="B20" s="83" t="s">
        <v>81</v>
      </c>
      <c r="C20" s="84" t="s">
        <v>137</v>
      </c>
      <c r="D20" s="84" t="s">
        <v>86</v>
      </c>
      <c r="E20" s="83" t="s">
        <v>136</v>
      </c>
      <c r="F20" s="83" t="s">
        <v>136</v>
      </c>
      <c r="G20" s="83" t="s">
        <v>136</v>
      </c>
      <c r="H20" s="83">
        <v>2</v>
      </c>
    </row>
    <row r="21" spans="1:8">
      <c r="A21" s="83">
        <v>16</v>
      </c>
      <c r="B21" s="83" t="s">
        <v>84</v>
      </c>
      <c r="C21" s="84" t="s">
        <v>137</v>
      </c>
      <c r="D21" s="84" t="s">
        <v>86</v>
      </c>
      <c r="E21" s="84" t="s">
        <v>86</v>
      </c>
      <c r="F21" s="83" t="s">
        <v>136</v>
      </c>
      <c r="G21" s="83" t="s">
        <v>136</v>
      </c>
      <c r="H21" s="83">
        <v>3</v>
      </c>
    </row>
    <row r="22" spans="1:8">
      <c r="A22" s="83">
        <v>17</v>
      </c>
      <c r="B22" s="83" t="s">
        <v>72</v>
      </c>
      <c r="C22" s="84" t="s">
        <v>137</v>
      </c>
      <c r="D22" s="83" t="s">
        <v>136</v>
      </c>
      <c r="E22" s="83" t="s">
        <v>136</v>
      </c>
      <c r="F22" s="84" t="s">
        <v>137</v>
      </c>
      <c r="G22" s="84" t="s">
        <v>86</v>
      </c>
      <c r="H22" s="83">
        <v>3</v>
      </c>
    </row>
    <row r="23" spans="1:8">
      <c r="A23" s="83">
        <v>18</v>
      </c>
      <c r="B23" s="83" t="s">
        <v>73</v>
      </c>
      <c r="C23" s="83" t="s">
        <v>146</v>
      </c>
      <c r="D23" s="83" t="s">
        <v>136</v>
      </c>
      <c r="E23" s="84" t="s">
        <v>137</v>
      </c>
      <c r="F23" s="84" t="s">
        <v>137</v>
      </c>
      <c r="G23" s="84" t="s">
        <v>86</v>
      </c>
      <c r="H23" s="83">
        <v>3</v>
      </c>
    </row>
    <row r="24" spans="1:8">
      <c r="A24" s="83">
        <v>19</v>
      </c>
      <c r="B24" s="83" t="s">
        <v>74</v>
      </c>
      <c r="C24" s="83" t="s">
        <v>146</v>
      </c>
      <c r="D24" s="84" t="s">
        <v>86</v>
      </c>
      <c r="E24" s="84" t="s">
        <v>86</v>
      </c>
      <c r="F24" s="84" t="s">
        <v>86</v>
      </c>
      <c r="G24" s="84" t="s">
        <v>86</v>
      </c>
      <c r="H24" s="83">
        <v>4</v>
      </c>
    </row>
    <row r="25" spans="1:8" s="18" customFormat="1">
      <c r="A25" s="83">
        <v>20</v>
      </c>
      <c r="B25" s="83" t="s">
        <v>75</v>
      </c>
      <c r="C25" s="84" t="s">
        <v>137</v>
      </c>
      <c r="D25" s="84" t="s">
        <v>86</v>
      </c>
      <c r="E25" s="84" t="s">
        <v>86</v>
      </c>
      <c r="F25" s="84" t="s">
        <v>86</v>
      </c>
      <c r="G25" s="84" t="s">
        <v>86</v>
      </c>
      <c r="H25" s="83">
        <v>5</v>
      </c>
    </row>
    <row r="26" spans="1:8" s="18" customFormat="1">
      <c r="A26" s="83">
        <v>21</v>
      </c>
      <c r="B26" s="83" t="s">
        <v>76</v>
      </c>
      <c r="C26" s="84" t="s">
        <v>137</v>
      </c>
      <c r="D26" s="84" t="s">
        <v>86</v>
      </c>
      <c r="E26" s="84" t="s">
        <v>86</v>
      </c>
      <c r="F26" s="84" t="s">
        <v>86</v>
      </c>
      <c r="G26" s="84" t="s">
        <v>86</v>
      </c>
      <c r="H26" s="83">
        <v>5</v>
      </c>
    </row>
    <row r="27" spans="1:8">
      <c r="A27" s="83">
        <v>22</v>
      </c>
      <c r="B27" s="83" t="s">
        <v>81</v>
      </c>
      <c r="C27" s="84" t="s">
        <v>137</v>
      </c>
      <c r="D27" s="84" t="s">
        <v>86</v>
      </c>
      <c r="E27" s="83" t="s">
        <v>136</v>
      </c>
      <c r="F27" s="83" t="s">
        <v>136</v>
      </c>
      <c r="G27" s="83" t="s">
        <v>136</v>
      </c>
      <c r="H27" s="83">
        <v>2</v>
      </c>
    </row>
    <row r="28" spans="1:8">
      <c r="A28" s="83">
        <v>23</v>
      </c>
      <c r="B28" s="83" t="s">
        <v>84</v>
      </c>
      <c r="C28" s="84" t="s">
        <v>137</v>
      </c>
      <c r="D28" s="84" t="s">
        <v>86</v>
      </c>
      <c r="E28" s="84" t="s">
        <v>86</v>
      </c>
      <c r="F28" s="83" t="s">
        <v>136</v>
      </c>
      <c r="G28" s="83" t="s">
        <v>136</v>
      </c>
      <c r="H28" s="83">
        <v>3</v>
      </c>
    </row>
    <row r="29" spans="1:8">
      <c r="A29" s="83">
        <v>24</v>
      </c>
      <c r="B29" s="83" t="s">
        <v>72</v>
      </c>
      <c r="C29" s="84" t="s">
        <v>137</v>
      </c>
      <c r="D29" s="83" t="s">
        <v>136</v>
      </c>
      <c r="E29" s="83" t="s">
        <v>136</v>
      </c>
      <c r="F29" s="84" t="s">
        <v>137</v>
      </c>
      <c r="G29" s="84" t="s">
        <v>86</v>
      </c>
      <c r="H29" s="83">
        <v>3</v>
      </c>
    </row>
    <row r="30" spans="1:8">
      <c r="A30" s="83">
        <v>25</v>
      </c>
      <c r="B30" s="83" t="s">
        <v>73</v>
      </c>
      <c r="C30" s="83" t="s">
        <v>146</v>
      </c>
      <c r="D30" s="83" t="s">
        <v>136</v>
      </c>
      <c r="E30" s="84" t="s">
        <v>137</v>
      </c>
      <c r="F30" s="84" t="s">
        <v>137</v>
      </c>
      <c r="G30" s="84" t="s">
        <v>86</v>
      </c>
      <c r="H30" s="83">
        <v>3</v>
      </c>
    </row>
    <row r="31" spans="1:8">
      <c r="A31" s="83">
        <v>26</v>
      </c>
      <c r="B31" s="83" t="s">
        <v>74</v>
      </c>
      <c r="C31" s="83" t="s">
        <v>146</v>
      </c>
      <c r="D31" s="84" t="s">
        <v>86</v>
      </c>
      <c r="E31" s="84" t="s">
        <v>86</v>
      </c>
      <c r="F31" s="84" t="s">
        <v>86</v>
      </c>
      <c r="G31" s="84" t="s">
        <v>86</v>
      </c>
      <c r="H31" s="83">
        <v>4</v>
      </c>
    </row>
    <row r="32" spans="1:8" s="18" customFormat="1">
      <c r="A32" s="83">
        <v>27</v>
      </c>
      <c r="B32" s="83" t="s">
        <v>75</v>
      </c>
      <c r="C32" s="84" t="s">
        <v>137</v>
      </c>
      <c r="D32" s="84" t="s">
        <v>86</v>
      </c>
      <c r="E32" s="84" t="s">
        <v>86</v>
      </c>
      <c r="F32" s="84" t="s">
        <v>86</v>
      </c>
      <c r="G32" s="84" t="s">
        <v>86</v>
      </c>
      <c r="H32" s="83">
        <v>5</v>
      </c>
    </row>
    <row r="33" spans="1:8" s="18" customFormat="1">
      <c r="A33" s="83">
        <v>28</v>
      </c>
      <c r="B33" s="83" t="s">
        <v>76</v>
      </c>
      <c r="C33" s="84" t="s">
        <v>137</v>
      </c>
      <c r="D33" s="84" t="s">
        <v>86</v>
      </c>
      <c r="E33" s="84" t="s">
        <v>86</v>
      </c>
      <c r="F33" s="84" t="s">
        <v>86</v>
      </c>
      <c r="G33" s="84" t="s">
        <v>86</v>
      </c>
      <c r="H33" s="83">
        <v>5</v>
      </c>
    </row>
    <row r="34" spans="1:8">
      <c r="A34" s="83">
        <v>29</v>
      </c>
      <c r="B34" s="83" t="s">
        <v>81</v>
      </c>
      <c r="C34" s="84" t="s">
        <v>137</v>
      </c>
      <c r="D34" s="84" t="s">
        <v>86</v>
      </c>
      <c r="E34" s="83" t="s">
        <v>136</v>
      </c>
      <c r="F34" s="83" t="s">
        <v>136</v>
      </c>
      <c r="G34" s="83" t="s">
        <v>136</v>
      </c>
      <c r="H34" s="83">
        <v>2</v>
      </c>
    </row>
    <row r="35" spans="1:8">
      <c r="A35" s="83">
        <v>30</v>
      </c>
      <c r="B35" s="83" t="s">
        <v>84</v>
      </c>
      <c r="C35" s="84" t="s">
        <v>137</v>
      </c>
      <c r="D35" s="84" t="s">
        <v>86</v>
      </c>
      <c r="E35" s="84" t="s">
        <v>86</v>
      </c>
      <c r="F35" s="83" t="s">
        <v>136</v>
      </c>
      <c r="G35" s="83" t="s">
        <v>136</v>
      </c>
      <c r="H35" s="83">
        <v>3</v>
      </c>
    </row>
    <row r="36" spans="1:8" ht="18.600000000000001" customHeight="1">
      <c r="A36" s="479" t="s">
        <v>178</v>
      </c>
      <c r="B36" s="480"/>
      <c r="C36" s="479" t="s">
        <v>140</v>
      </c>
      <c r="D36" s="480"/>
      <c r="E36" s="481"/>
      <c r="F36" s="485" t="s">
        <v>139</v>
      </c>
      <c r="G36" s="485"/>
      <c r="H36" s="485"/>
    </row>
  </sheetData>
  <mergeCells count="9">
    <mergeCell ref="C3:G4"/>
    <mergeCell ref="F36:H36"/>
    <mergeCell ref="A1:H2"/>
    <mergeCell ref="A3:B3"/>
    <mergeCell ref="H3:H5"/>
    <mergeCell ref="A4:A5"/>
    <mergeCell ref="B4:B5"/>
    <mergeCell ref="A36:B36"/>
    <mergeCell ref="C36:E36"/>
  </mergeCells>
  <phoneticPr fontId="18" type="noConversion"/>
  <pageMargins left="0.7" right="0.7" top="0.75" bottom="0.75" header="0.3" footer="0.3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12</vt:i4>
      </vt:variant>
      <vt:variant>
        <vt:lpstr>이름이 지정된 범위</vt:lpstr>
      </vt:variant>
      <vt:variant>
        <vt:i4>11</vt:i4>
      </vt:variant>
    </vt:vector>
  </HeadingPairs>
  <TitlesOfParts>
    <vt:vector size="23" baseType="lpstr">
      <vt:lpstr>심사요약서</vt:lpstr>
      <vt:lpstr>2.원가계산서(결과)</vt:lpstr>
      <vt:lpstr>2.원가계산서 (요청)</vt:lpstr>
      <vt:lpstr>3. 2021년 하반기 중소제조업 직종별 임금조사 반영</vt:lpstr>
      <vt:lpstr>원가계산서 (17명) (지방자치단체)</vt:lpstr>
      <vt:lpstr>4. 당직 근무시간 (23명)4교대</vt:lpstr>
      <vt:lpstr>5. 시설 근무패턴</vt:lpstr>
      <vt:lpstr>6. 경비 근무패턴</vt:lpstr>
      <vt:lpstr>7. 청소 근무패턴</vt:lpstr>
      <vt:lpstr>8. 청소근무기준</vt:lpstr>
      <vt:lpstr>9. 업무분장</vt:lpstr>
      <vt:lpstr>1.산출근거</vt:lpstr>
      <vt:lpstr>'1.산출근거'!Print_Area</vt:lpstr>
      <vt:lpstr>'2.원가계산서 (요청)'!Print_Area</vt:lpstr>
      <vt:lpstr>'2.원가계산서(결과)'!Print_Area</vt:lpstr>
      <vt:lpstr>'3. 2021년 하반기 중소제조업 직종별 임금조사 반영'!Print_Area</vt:lpstr>
      <vt:lpstr>'4. 당직 근무시간 (23명)4교대'!Print_Area</vt:lpstr>
      <vt:lpstr>'5. 시설 근무패턴'!Print_Area</vt:lpstr>
      <vt:lpstr>'6. 경비 근무패턴'!Print_Area</vt:lpstr>
      <vt:lpstr>'7. 청소 근무패턴'!Print_Area</vt:lpstr>
      <vt:lpstr>'8. 청소근무기준'!Print_Area</vt:lpstr>
      <vt:lpstr>'9. 업무분장'!Print_Area</vt:lpstr>
      <vt:lpstr>'원가계산서 (17명) (지방자치단체)'!Print_Area</vt:lpstr>
    </vt:vector>
  </TitlesOfParts>
  <Company>ALL USER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END USER</dc:creator>
  <cp:lastModifiedBy>SEJONG</cp:lastModifiedBy>
  <cp:lastPrinted>2021-11-11T06:07:13Z</cp:lastPrinted>
  <dcterms:created xsi:type="dcterms:W3CDTF">2014-11-20T00:55:00Z</dcterms:created>
  <dcterms:modified xsi:type="dcterms:W3CDTF">2021-11-29T23:30:12Z</dcterms:modified>
</cp:coreProperties>
</file>